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2760" windowWidth="7650" windowHeight="8970" tabRatio="385" activeTab="0"/>
  </bookViews>
  <sheets>
    <sheet name="Beräkning" sheetId="1" r:id="rId1"/>
    <sheet name="IPX UC" sheetId="2" state="hidden" r:id="rId2"/>
    <sheet name="IPX PC max 50 kW" sheetId="3" state="hidden" r:id="rId3"/>
    <sheet name="IPX PC max 100 kW" sheetId="4" state="hidden" r:id="rId4"/>
    <sheet name="IPX PC max 2000 kW" sheetId="5" state="hidden" r:id="rId5"/>
    <sheet name="Cirex UC" sheetId="6" state="hidden" r:id="rId6"/>
    <sheet name="Cirex PC" sheetId="7" state="hidden" r:id="rId7"/>
    <sheet name="IPX" sheetId="8" r:id="rId8"/>
    <sheet name="Cirex slutet" sheetId="9" state="hidden" r:id="rId9"/>
    <sheet name="Cirex öppet" sheetId="10" state="hidden" r:id="rId10"/>
    <sheet name="Avsp-kärl" sheetId="11" state="hidden" r:id="rId11"/>
    <sheet name="Blad13" sheetId="12" state="hidden" r:id="rId12"/>
    <sheet name="Blad14" sheetId="13" state="hidden" r:id="rId13"/>
    <sheet name="Blad15" sheetId="14" state="hidden" r:id="rId14"/>
    <sheet name="Blad16" sheetId="15" state="hidden" r:id="rId15"/>
    <sheet name="Blad17" sheetId="16" state="hidden" r:id="rId16"/>
    <sheet name="Blad18" sheetId="17" state="hidden" r:id="rId17"/>
    <sheet name="Blad19" sheetId="18" state="hidden" r:id="rId18"/>
    <sheet name="Blad20" sheetId="19" state="hidden" r:id="rId19"/>
  </sheets>
  <definedNames>
    <definedName name="Z_7AE67A1B_7C02_40B2_8FF8_4CC9FB6AB4C1_.wvu.Cols" localSheetId="0" hidden="1">'Beräkning'!$L:$U</definedName>
    <definedName name="Z_7AE67A1B_7C02_40B2_8FF8_4CC9FB6AB4C1_.wvu.Cols" localSheetId="9" hidden="1">'Cirex öppet'!$M:$T</definedName>
    <definedName name="Z_7AE67A1B_7C02_40B2_8FF8_4CC9FB6AB4C1_.wvu.Rows" localSheetId="10" hidden="1">'Avsp-kärl'!$8:$109,'Avsp-kärl'!$113:$113,'Avsp-kärl'!$115:$116</definedName>
    <definedName name="Z_7AE67A1B_7C02_40B2_8FF8_4CC9FB6AB4C1_.wvu.Rows" localSheetId="0" hidden="1">'Beräkning'!$40:$219</definedName>
  </definedNames>
  <calcPr fullCalcOnLoad="1"/>
</workbook>
</file>

<file path=xl/sharedStrings.xml><?xml version="1.0" encoding="utf-8"?>
<sst xmlns="http://schemas.openxmlformats.org/spreadsheetml/2006/main" count="668" uniqueCount="190">
  <si>
    <t>IPX OCH CIREX EXPANSIONSSYSTEM</t>
  </si>
  <si>
    <t>ANLÄGGNINGSDATA</t>
  </si>
  <si>
    <r>
      <t xml:space="preserve">(Max effekt 2000 kW och 120 </t>
    </r>
    <r>
      <rPr>
        <b/>
        <vertAlign val="superscript"/>
        <sz val="10"/>
        <rFont val="Arial"/>
        <family val="0"/>
      </rPr>
      <t>o</t>
    </r>
    <r>
      <rPr>
        <b/>
        <sz val="10"/>
        <rFont val="Arial"/>
        <family val="0"/>
      </rPr>
      <t>C)</t>
    </r>
  </si>
  <si>
    <t>Värmekälla</t>
  </si>
  <si>
    <t>Oljepanna</t>
  </si>
  <si>
    <t>kW</t>
  </si>
  <si>
    <t>Elpanna</t>
  </si>
  <si>
    <t>Vedpanna</t>
  </si>
  <si>
    <t>UC</t>
  </si>
  <si>
    <t>Tot vatteninnehåll</t>
  </si>
  <si>
    <t>liter</t>
  </si>
  <si>
    <t>Om uppgift om vattenmängden saknas, anges följande effektuppgifter:</t>
  </si>
  <si>
    <t>rad</t>
  </si>
  <si>
    <t>vvx</t>
  </si>
  <si>
    <t>vent</t>
  </si>
  <si>
    <t>konv</t>
  </si>
  <si>
    <t>Radiatorer</t>
  </si>
  <si>
    <t>Ventilation</t>
  </si>
  <si>
    <t>Kulvert</t>
  </si>
  <si>
    <t>ansl</t>
  </si>
  <si>
    <t>längd m</t>
  </si>
  <si>
    <t>Om även effektuppgifter saknas uppskattas vattenmängden enligt följande</t>
  </si>
  <si>
    <r>
      <t xml:space="preserve">Välj </t>
    </r>
    <r>
      <rPr>
        <b/>
        <sz val="10"/>
        <rFont val="Arial"/>
        <family val="0"/>
      </rPr>
      <t>ett</t>
    </r>
    <r>
      <rPr>
        <sz val="10"/>
        <rFont val="Arial"/>
        <family val="0"/>
      </rPr>
      <t xml:space="preserve"> av alternativen nedan. Prioritera uppifrån.</t>
    </r>
  </si>
  <si>
    <r>
      <t>Tot bostadsyta m</t>
    </r>
    <r>
      <rPr>
        <vertAlign val="superscript"/>
        <sz val="10"/>
        <rFont val="Arial"/>
        <family val="2"/>
      </rPr>
      <t>2</t>
    </r>
  </si>
  <si>
    <r>
      <t>Tot bostadsvol m</t>
    </r>
    <r>
      <rPr>
        <vertAlign val="superscript"/>
        <sz val="10"/>
        <rFont val="Arial"/>
        <family val="2"/>
      </rPr>
      <t>3</t>
    </r>
  </si>
  <si>
    <t>Antal lägenheter</t>
  </si>
  <si>
    <t>Antal radiatorer</t>
  </si>
  <si>
    <r>
      <t xml:space="preserve">Max drifttemp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</si>
  <si>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Glykolhalt %</t>
  </si>
  <si>
    <t>Statisk höjd</t>
  </si>
  <si>
    <t>m</t>
  </si>
  <si>
    <t>Max drifttryck</t>
  </si>
  <si>
    <t>bar</t>
  </si>
  <si>
    <t>Cirex, högsta drifttryck</t>
  </si>
  <si>
    <t>Cirex 1-fas=1, 3-fas=3</t>
  </si>
  <si>
    <t>Ansl</t>
  </si>
  <si>
    <t>di mm</t>
  </si>
  <si>
    <t>A dm2</t>
  </si>
  <si>
    <t>Vol lit</t>
  </si>
  <si>
    <t>Cirex enkel=1, dubbel=2</t>
  </si>
  <si>
    <t>Vattenvol alt 1</t>
  </si>
  <si>
    <t>Vattenvol alt 2</t>
  </si>
  <si>
    <t>Vattenvol alt 3</t>
  </si>
  <si>
    <t>RESULTAT</t>
  </si>
  <si>
    <t>Tot vattenvolym</t>
  </si>
  <si>
    <t>Expansionsvolym</t>
  </si>
  <si>
    <t>Förtryck (IPX)</t>
  </si>
  <si>
    <t>kPa</t>
  </si>
  <si>
    <t>Tillåtet maxtryck</t>
  </si>
  <si>
    <t>Nyttoverkningsgrad</t>
  </si>
  <si>
    <t>%</t>
  </si>
  <si>
    <t>Erforderlig kärlvolym</t>
  </si>
  <si>
    <t>Lämpligt kärl</t>
  </si>
  <si>
    <t>IPX</t>
  </si>
  <si>
    <t>CIREX</t>
  </si>
  <si>
    <t>Beräknas manuellt</t>
  </si>
  <si>
    <t>2 x 500</t>
  </si>
  <si>
    <t>2 x 700</t>
  </si>
  <si>
    <t>2 x 900</t>
  </si>
  <si>
    <t>Cirex</t>
  </si>
  <si>
    <t>Säkerhetsventiler IDO</t>
  </si>
  <si>
    <t>går ej</t>
  </si>
  <si>
    <t>ansl 25</t>
  </si>
  <si>
    <t>ansl 32</t>
  </si>
  <si>
    <t>ansl 40</t>
  </si>
  <si>
    <t>ansl 50</t>
  </si>
  <si>
    <t>Armatursats typ</t>
  </si>
  <si>
    <t>bestående av:</t>
  </si>
  <si>
    <t>Samlingsrör       ansl</t>
  </si>
  <si>
    <t>PC</t>
  </si>
  <si>
    <t>Samlingsrör     ansl</t>
  </si>
  <si>
    <t>V</t>
  </si>
  <si>
    <t>slutet</t>
  </si>
  <si>
    <t>Tryckhållningmodul</t>
  </si>
  <si>
    <t>Manuell ber</t>
  </si>
  <si>
    <t>RSKnr</t>
  </si>
  <si>
    <t>öppet</t>
  </si>
  <si>
    <t>Tillbehör</t>
  </si>
  <si>
    <t>Väggfäste</t>
  </si>
  <si>
    <t>Signtrmät</t>
  </si>
  <si>
    <t>Datum</t>
  </si>
  <si>
    <t>IPX SLUTNA EXPANSIONSSYSTEM</t>
  </si>
  <si>
    <t>Anläggning:</t>
  </si>
  <si>
    <t>Kod</t>
  </si>
  <si>
    <t>Pos</t>
  </si>
  <si>
    <t>Text</t>
  </si>
  <si>
    <t>Mängd</t>
  </si>
  <si>
    <t>Enhet</t>
  </si>
  <si>
    <t>PLC.41</t>
  </si>
  <si>
    <t>Expansionskärl rymd</t>
  </si>
  <si>
    <t>st</t>
  </si>
  <si>
    <t>Förtryck</t>
  </si>
  <si>
    <t>Kontrollmanventil</t>
  </si>
  <si>
    <t>Signaltryckmätare</t>
  </si>
  <si>
    <t>Mätventil</t>
  </si>
  <si>
    <t>Avtappningsdon</t>
  </si>
  <si>
    <t>Dimensionerande underlag</t>
  </si>
  <si>
    <t>Effekt</t>
  </si>
  <si>
    <t>Vattenvol</t>
  </si>
  <si>
    <r>
      <t>Temp</t>
    </r>
  </si>
  <si>
    <r>
      <t>o</t>
    </r>
    <r>
      <rPr>
        <sz val="10"/>
        <rFont val="Arial"/>
        <family val="0"/>
      </rPr>
      <t>C</t>
    </r>
  </si>
  <si>
    <t>Stat höjd</t>
  </si>
  <si>
    <t>Max drifttr</t>
  </si>
  <si>
    <t>Expvol</t>
  </si>
  <si>
    <t>Erf kärlvol</t>
  </si>
  <si>
    <t>Glykolhalt</t>
  </si>
  <si>
    <t>Säkerhetsutrustning bestående av:</t>
  </si>
  <si>
    <t>Säkerhetsventiler ansl</t>
  </si>
  <si>
    <t>Avspänningskärl i vissa fall</t>
  </si>
  <si>
    <t>CIREX SLUTNA EXPANSIONSSYSTEM</t>
  </si>
  <si>
    <t>PLC.122</t>
  </si>
  <si>
    <t>Öppet expansionskärl rymd</t>
  </si>
  <si>
    <t>komplett utrustad med:</t>
  </si>
  <si>
    <t>Trycklöst membran</t>
  </si>
  <si>
    <t>Erforderliga anslutningar</t>
  </si>
  <si>
    <t>Tryckhållningsmodul</t>
  </si>
  <si>
    <t>modell</t>
  </si>
  <si>
    <t>för ett högsta tryck av</t>
  </si>
  <si>
    <t>m vp</t>
  </si>
  <si>
    <t>Spänning</t>
  </si>
  <si>
    <t>Medleveras omonterat:</t>
  </si>
  <si>
    <t>Säkerhetsventil ansl 25</t>
  </si>
  <si>
    <t>Tillbehör:</t>
  </si>
  <si>
    <t>Aut vattenpåfyllning</t>
  </si>
  <si>
    <t>CIREX ÖPPNA EXPANSIONSSYSTEM</t>
  </si>
  <si>
    <t>Panneffekt</t>
  </si>
  <si>
    <t>Max övertryck</t>
  </si>
  <si>
    <t>Säkerhetsledn</t>
  </si>
  <si>
    <t>Trevägsventil</t>
  </si>
  <si>
    <r>
      <t>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-böjar</t>
    </r>
  </si>
  <si>
    <t>Koeff tot</t>
  </si>
  <si>
    <t>Säkerhetsledningens dim</t>
  </si>
  <si>
    <t>d mm</t>
  </si>
  <si>
    <t>koeff tot</t>
  </si>
  <si>
    <t>Säkerhetventilernas avblåsningskapacitet</t>
  </si>
  <si>
    <t>kg/h</t>
  </si>
  <si>
    <t>(ej obl uppgift)</t>
  </si>
  <si>
    <t>Säkerhetventilernas öppningstryck</t>
  </si>
  <si>
    <t>Antal böjar utloppsrör</t>
  </si>
  <si>
    <t>Total längd utloppsrör</t>
  </si>
  <si>
    <t>meter</t>
  </si>
  <si>
    <t>qmv/qmå</t>
  </si>
  <si>
    <t>Hetvattenflöde</t>
  </si>
  <si>
    <t>kg/s</t>
  </si>
  <si>
    <t>Volym</t>
  </si>
  <si>
    <t>m3</t>
  </si>
  <si>
    <t>Här följer uträkning av hast i ångrör som ger olika alt på vattenlåsets höjd och</t>
  </si>
  <si>
    <t>därmed olika L/D. Man får välja lämpligt alt.</t>
  </si>
  <si>
    <t>Ångdim</t>
  </si>
  <si>
    <t>Vol m3</t>
  </si>
  <si>
    <t>L/D</t>
  </si>
  <si>
    <t>Vol liter</t>
  </si>
  <si>
    <t>Imrör dim</t>
  </si>
  <si>
    <t>Vattenlåsets höjd mm</t>
  </si>
  <si>
    <t>Vattenlåsets dim</t>
  </si>
  <si>
    <t>IPX slutna expansionssystem från</t>
  </si>
  <si>
    <r>
      <t xml:space="preserve">Beulco Armatur AB </t>
    </r>
    <r>
      <rPr>
        <sz val="10"/>
        <rFont val="Arial"/>
        <family val="2"/>
      </rPr>
      <t>bestående av</t>
    </r>
    <r>
      <rPr>
        <b/>
        <sz val="10"/>
        <rFont val="Arial"/>
        <family val="0"/>
      </rPr>
      <t>:</t>
    </r>
  </si>
  <si>
    <r>
      <t>Beulco Armatur AB</t>
    </r>
    <r>
      <rPr>
        <sz val="10"/>
        <rFont val="Arial"/>
        <family val="0"/>
      </rPr>
      <t xml:space="preserve"> bestående av:</t>
    </r>
  </si>
  <si>
    <t>CIREX slutna expansionssystem från</t>
  </si>
  <si>
    <t>Dimensionering av säkerhetsledning</t>
  </si>
  <si>
    <t>Säkerhetsledn tot längd</t>
  </si>
  <si>
    <r>
      <t>90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-böjar antal</t>
    </r>
  </si>
  <si>
    <t>Säkerhetsledn dim DN</t>
  </si>
  <si>
    <t>(kontakta Beulco Armatur för dimensionering)</t>
  </si>
  <si>
    <t>C-1-1-30</t>
  </si>
  <si>
    <t>C-1-1-40</t>
  </si>
  <si>
    <t>C-1-1-50</t>
  </si>
  <si>
    <t>C-1-3-30</t>
  </si>
  <si>
    <t>C-1-3-40</t>
  </si>
  <si>
    <t>C-1-3-50</t>
  </si>
  <si>
    <t>C-2-3-30</t>
  </si>
  <si>
    <t>C-2-3-40</t>
  </si>
  <si>
    <t>C-2-3-50</t>
  </si>
  <si>
    <t>Panncentral Arvidsjaur</t>
  </si>
  <si>
    <t>CIREX öppna expansionssystem från</t>
  </si>
  <si>
    <t>Bräddavlopp</t>
  </si>
  <si>
    <t>Beräknad/uppskattad total vattenvolym</t>
  </si>
  <si>
    <t>Säkerhetsventil ansl</t>
  </si>
  <si>
    <t>(Till el-pannor krävs ej inkoppling av nivå- och</t>
  </si>
  <si>
    <t>tryckvakt, och till pannor som tål 0-flöde</t>
  </si>
  <si>
    <t>krävs ej flödesvakt.)</t>
  </si>
  <si>
    <t>För undercentraler och kylsystem</t>
  </si>
  <si>
    <r>
      <t xml:space="preserve">För pannsystem, max effekt 50 kW, max 2,5 bar, max 120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</si>
  <si>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För pannsystem, max effekt 100 kW, max 2,5 bar, max 120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</si>
  <si>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r>
      <t xml:space="preserve">För pannsystem, max effekt 2000 kW, max 120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C</t>
    </r>
  </si>
  <si>
    <t>För pannsystem</t>
  </si>
  <si>
    <t>Tryckmätare</t>
  </si>
  <si>
    <t>Avluftningsventil</t>
  </si>
  <si>
    <t>(Till pannor som tål 0-flöde krävs ej flödesvakt)</t>
  </si>
  <si>
    <t>Tryckmätare och avluftningsventil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</si>
</sst>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#,##0_);\(&quot;kr&quot;#,##0\)"/>
    <numFmt numFmtId="165" formatCode="&quot;kr&quot;#,##0_);[Red]\(&quot;kr&quot;#,##0\)"/>
    <numFmt numFmtId="166" formatCode="&quot;kr&quot;#,##0.00_);\(&quot;kr&quot;#,##0.00\)"/>
    <numFmt numFmtId="167" formatCode="&quot;kr&quot;#,##0.00_);[Red]\(&quot;kr&quot;#,##0.00\)"/>
    <numFmt numFmtId="168" formatCode="_(&quot;kr&quot;* #,##0_);_(&quot;kr&quot;* \(#,##0\);_(&quot;kr&quot;* &quot;-&quot;_);_(@_)"/>
    <numFmt numFmtId="169" formatCode="_(* #,##0_);_(* \(#,##0\);_(* &quot;-&quot;_);_(@_)"/>
    <numFmt numFmtId="170" formatCode="_(&quot;kr&quot;* #,##0.00_);_(&quot;kr&quot;* \(#,##0.00\);_(&quot;kr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"/>
    <numFmt numFmtId="180" formatCode="0.00000"/>
    <numFmt numFmtId="181" formatCode="0.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b/>
      <vertAlign val="superscript"/>
      <sz val="10"/>
      <name val="Arial"/>
      <family val="0"/>
    </font>
    <font>
      <vertAlign val="superscript"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 horizontal="right"/>
    </xf>
    <xf numFmtId="179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/>
    </xf>
    <xf numFmtId="14" fontId="0" fillId="0" borderId="0" xfId="0" applyNumberFormat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right"/>
    </xf>
    <xf numFmtId="179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" fontId="0" fillId="0" borderId="12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0" fillId="0" borderId="15" xfId="0" applyNumberFormat="1" applyBorder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 horizontal="left"/>
      <protection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24" xfId="0" applyBorder="1" applyAlignment="1">
      <alignment/>
    </xf>
    <xf numFmtId="0" fontId="8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2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8" fillId="0" borderId="0" xfId="0" applyFont="1" applyBorder="1" applyAlignment="1">
      <alignment/>
    </xf>
    <xf numFmtId="1" fontId="0" fillId="0" borderId="19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0" borderId="14" xfId="0" applyBorder="1" applyAlignment="1" applyProtection="1">
      <alignment/>
      <protection locked="0"/>
    </xf>
    <xf numFmtId="0" fontId="6" fillId="0" borderId="1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Border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20" xfId="0" applyFont="1" applyBorder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 applyProtection="1">
      <alignment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0" xfId="0" applyBorder="1" applyAlignment="1">
      <alignment/>
    </xf>
    <xf numFmtId="0" fontId="1" fillId="0" borderId="1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11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1" fillId="33" borderId="2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" fillId="33" borderId="20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33" borderId="20" xfId="0" applyFont="1" applyFill="1" applyBorder="1" applyAlignment="1" applyProtection="1">
      <alignment horizontal="center"/>
      <protection hidden="1" locked="0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33" borderId="20" xfId="0" applyFill="1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1" fontId="13" fillId="0" borderId="21" xfId="0" applyNumberFormat="1" applyFont="1" applyBorder="1" applyAlignment="1" applyProtection="1">
      <alignment horizontal="center"/>
      <protection hidden="1"/>
    </xf>
    <xf numFmtId="0" fontId="9" fillId="0" borderId="23" xfId="0" applyFon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" fillId="33" borderId="18" xfId="0" applyFont="1" applyFill="1" applyBorder="1" applyAlignment="1" applyProtection="1">
      <alignment horizontal="center"/>
      <protection hidden="1" locked="0"/>
    </xf>
    <xf numFmtId="0" fontId="0" fillId="0" borderId="16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 locked="0"/>
    </xf>
    <xf numFmtId="14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/>
      <protection hidden="1"/>
    </xf>
    <xf numFmtId="0" fontId="1" fillId="0" borderId="1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9"/>
  <sheetViews>
    <sheetView showGridLines="0" tabSelected="1" zoomScale="75" zoomScaleNormal="75" zoomScalePageLayoutView="0" workbookViewId="0" topLeftCell="A1">
      <selection activeCell="F5" sqref="F5"/>
    </sheetView>
  </sheetViews>
  <sheetFormatPr defaultColWidth="9.140625" defaultRowHeight="12.75"/>
  <cols>
    <col min="1" max="1" width="10.00390625" style="0" customWidth="1"/>
    <col min="2" max="2" width="3.7109375" style="0" customWidth="1"/>
    <col min="3" max="3" width="12.421875" style="0" customWidth="1"/>
    <col min="5" max="5" width="11.421875" style="0" customWidth="1"/>
    <col min="10" max="10" width="8.421875" style="0" customWidth="1"/>
    <col min="11" max="11" width="9.8515625" style="0" customWidth="1"/>
    <col min="12" max="12" width="9.140625" style="0" hidden="1" customWidth="1"/>
    <col min="13" max="13" width="10.00390625" style="0" hidden="1" customWidth="1"/>
    <col min="14" max="16" width="9.140625" style="0" hidden="1" customWidth="1"/>
    <col min="17" max="17" width="9.28125" style="0" hidden="1" customWidth="1"/>
    <col min="18" max="20" width="9.140625" style="0" hidden="1" customWidth="1"/>
  </cols>
  <sheetData>
    <row r="1" spans="1:10" ht="18">
      <c r="A1" s="136">
        <v>38131</v>
      </c>
      <c r="B1" s="137"/>
      <c r="C1" s="138" t="s">
        <v>0</v>
      </c>
      <c r="D1" s="119"/>
      <c r="E1" s="139"/>
      <c r="F1" s="119"/>
      <c r="G1" s="119"/>
      <c r="H1" s="119"/>
      <c r="I1" s="119"/>
      <c r="J1" s="119"/>
    </row>
    <row r="2" spans="1:10" ht="12.75">
      <c r="A2" s="119"/>
      <c r="B2" s="119"/>
      <c r="C2" s="119"/>
      <c r="D2" s="119"/>
      <c r="E2" s="119"/>
      <c r="F2" s="119"/>
      <c r="G2" s="119"/>
      <c r="H2" s="119"/>
      <c r="I2" s="119"/>
      <c r="J2" s="119"/>
    </row>
    <row r="3" spans="1:10" ht="14.25">
      <c r="A3" s="119"/>
      <c r="B3" s="119"/>
      <c r="C3" s="121" t="s">
        <v>1</v>
      </c>
      <c r="D3" s="119"/>
      <c r="E3" s="119"/>
      <c r="F3" s="121" t="s">
        <v>2</v>
      </c>
      <c r="G3" s="119"/>
      <c r="H3" s="119"/>
      <c r="I3" s="119"/>
      <c r="J3" s="119"/>
    </row>
    <row r="4" spans="1:10" ht="12.75">
      <c r="A4" s="119"/>
      <c r="B4" s="119"/>
      <c r="C4" s="119"/>
      <c r="D4" s="119"/>
      <c r="E4" s="119"/>
      <c r="F4" s="119"/>
      <c r="G4" s="119"/>
      <c r="H4" s="119"/>
      <c r="I4" s="119"/>
      <c r="J4" s="119"/>
    </row>
    <row r="5" spans="1:17" ht="12.75">
      <c r="A5" s="119"/>
      <c r="B5" s="140">
        <v>1</v>
      </c>
      <c r="C5" s="121" t="s">
        <v>3</v>
      </c>
      <c r="D5" s="119"/>
      <c r="E5" s="119" t="s">
        <v>4</v>
      </c>
      <c r="F5" s="120"/>
      <c r="G5" s="119" t="s">
        <v>5</v>
      </c>
      <c r="H5" s="119"/>
      <c r="I5" s="119"/>
      <c r="J5" s="119"/>
      <c r="L5" s="110">
        <f>F5+F6+F7</f>
        <v>0</v>
      </c>
      <c r="M5" s="33"/>
      <c r="N5" s="35">
        <v>50</v>
      </c>
      <c r="O5" s="35">
        <v>100</v>
      </c>
      <c r="P5" s="35">
        <v>2000</v>
      </c>
      <c r="Q5" s="34"/>
    </row>
    <row r="6" spans="1:17" ht="12.75">
      <c r="A6" s="126"/>
      <c r="B6" s="126"/>
      <c r="C6" s="119"/>
      <c r="D6" s="119"/>
      <c r="E6" s="119" t="s">
        <v>6</v>
      </c>
      <c r="F6" s="120"/>
      <c r="G6" s="119" t="s">
        <v>5</v>
      </c>
      <c r="H6" s="119"/>
      <c r="I6" s="119"/>
      <c r="J6" s="119"/>
      <c r="M6" s="18">
        <v>2.5</v>
      </c>
      <c r="N6" s="7">
        <f>IF(L5&gt;2000,100,3)</f>
        <v>3</v>
      </c>
      <c r="O6" s="7">
        <f>IF(L5&gt;2000,100,3)</f>
        <v>3</v>
      </c>
      <c r="P6" s="7">
        <f>IF(L5&gt;2000,100,3)</f>
        <v>3</v>
      </c>
      <c r="Q6" s="19"/>
    </row>
    <row r="7" spans="1:17" ht="12.75">
      <c r="A7" s="126"/>
      <c r="B7" s="126"/>
      <c r="C7" s="119"/>
      <c r="D7" s="119"/>
      <c r="E7" s="119" t="s">
        <v>7</v>
      </c>
      <c r="F7" s="120"/>
      <c r="G7" s="119" t="s">
        <v>5</v>
      </c>
      <c r="H7" s="121"/>
      <c r="I7" s="119"/>
      <c r="J7" s="119"/>
      <c r="M7" s="28">
        <v>0</v>
      </c>
      <c r="N7" s="25">
        <f>IF(E34&gt;2.5,100,IF(L5&gt;50,100,1))</f>
        <v>1</v>
      </c>
      <c r="O7" s="25">
        <f>IF(E34&gt;2.5,100,IF(L5&gt;100,100,2))</f>
        <v>2</v>
      </c>
      <c r="P7" s="25"/>
      <c r="Q7" s="24">
        <f>SMALL(N6:P7,1)</f>
        <v>1</v>
      </c>
    </row>
    <row r="8" spans="1:17" ht="12.75">
      <c r="A8" s="126"/>
      <c r="B8" s="126"/>
      <c r="C8" s="119"/>
      <c r="D8" s="119"/>
      <c r="E8" s="119" t="s">
        <v>8</v>
      </c>
      <c r="F8" s="122"/>
      <c r="G8" s="119" t="s">
        <v>5</v>
      </c>
      <c r="H8" s="119"/>
      <c r="I8" s="119"/>
      <c r="J8" s="119"/>
      <c r="L8" s="110">
        <f>(IF(AND(F5+F7+F8=0,F6&gt;0),4,""))</f>
      </c>
      <c r="Q8" s="110">
        <f>IF(L5=0,0,Q7)</f>
        <v>0</v>
      </c>
    </row>
    <row r="9" spans="1:10" ht="12.75">
      <c r="A9" s="126"/>
      <c r="B9" s="126"/>
      <c r="C9" s="119"/>
      <c r="D9" s="119"/>
      <c r="E9" s="119"/>
      <c r="F9" s="119"/>
      <c r="G9" s="119"/>
      <c r="H9" s="119"/>
      <c r="I9" s="119"/>
      <c r="J9" s="119"/>
    </row>
    <row r="10" spans="1:10" ht="12.75">
      <c r="A10" s="126"/>
      <c r="B10" s="140">
        <v>2</v>
      </c>
      <c r="C10" s="121" t="s">
        <v>9</v>
      </c>
      <c r="D10" s="119"/>
      <c r="E10" s="119"/>
      <c r="F10" s="120"/>
      <c r="G10" s="119" t="s">
        <v>10</v>
      </c>
      <c r="H10" s="119"/>
      <c r="I10" s="119"/>
      <c r="J10" s="119"/>
    </row>
    <row r="11" spans="1:10" ht="12.75">
      <c r="A11" s="126"/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15">
      <c r="A12" s="126"/>
      <c r="B12" s="119"/>
      <c r="C12" s="141" t="s">
        <v>11</v>
      </c>
      <c r="D12" s="119"/>
      <c r="E12" s="119"/>
      <c r="F12" s="119"/>
      <c r="G12" s="119"/>
      <c r="H12" s="119"/>
      <c r="I12" s="119"/>
      <c r="J12" s="119"/>
    </row>
    <row r="13" spans="1:17" ht="12.75">
      <c r="A13" s="119"/>
      <c r="B13" s="119"/>
      <c r="C13" s="119"/>
      <c r="D13" s="119"/>
      <c r="E13" s="123" t="s">
        <v>16</v>
      </c>
      <c r="F13" s="120"/>
      <c r="G13" s="119" t="s">
        <v>5</v>
      </c>
      <c r="H13" s="119"/>
      <c r="I13" s="119"/>
      <c r="J13" s="119"/>
      <c r="M13" s="33">
        <f>SUM(N13:Q13)</f>
        <v>0</v>
      </c>
      <c r="N13" s="35">
        <f>F13*N14</f>
        <v>0</v>
      </c>
      <c r="O13" s="35"/>
      <c r="P13" s="35"/>
      <c r="Q13" s="34">
        <f>F14*Q14</f>
        <v>0</v>
      </c>
    </row>
    <row r="14" spans="1:17" ht="12.75">
      <c r="A14" s="119"/>
      <c r="B14" s="119"/>
      <c r="C14" s="119"/>
      <c r="D14" s="119"/>
      <c r="E14" s="123" t="s">
        <v>17</v>
      </c>
      <c r="F14" s="118">
        <f>IF(F10&gt;0,"",(SUM(F5:F8)-F13))</f>
        <v>0</v>
      </c>
      <c r="G14" s="119" t="s">
        <v>5</v>
      </c>
      <c r="H14" s="119"/>
      <c r="I14" s="119"/>
      <c r="J14" s="119"/>
      <c r="M14" s="18"/>
      <c r="N14" s="7">
        <f>VLOOKUP(E30,M16:N23,2)</f>
        <v>15</v>
      </c>
      <c r="O14" s="7"/>
      <c r="P14" s="7"/>
      <c r="Q14" s="19">
        <f>VLOOKUP(E30,M16:Q23,5)</f>
        <v>6</v>
      </c>
    </row>
    <row r="15" spans="1:17" ht="12.75">
      <c r="A15" s="119"/>
      <c r="B15" s="119"/>
      <c r="C15" s="119"/>
      <c r="D15" s="119"/>
      <c r="E15" s="119"/>
      <c r="F15" s="119"/>
      <c r="G15" s="119"/>
      <c r="H15" s="119"/>
      <c r="I15" s="119"/>
      <c r="J15" s="119"/>
      <c r="M15" s="18"/>
      <c r="N15" s="7" t="s">
        <v>12</v>
      </c>
      <c r="O15" s="7" t="s">
        <v>13</v>
      </c>
      <c r="P15" s="7" t="s">
        <v>14</v>
      </c>
      <c r="Q15" s="19" t="s">
        <v>15</v>
      </c>
    </row>
    <row r="16" spans="1:17" ht="12.75">
      <c r="A16" s="119"/>
      <c r="B16" s="119"/>
      <c r="C16" s="121" t="s">
        <v>18</v>
      </c>
      <c r="D16" s="124" t="s">
        <v>19</v>
      </c>
      <c r="E16" s="124" t="s">
        <v>20</v>
      </c>
      <c r="F16" s="123"/>
      <c r="G16" s="124" t="s">
        <v>19</v>
      </c>
      <c r="H16" s="124" t="s">
        <v>20</v>
      </c>
      <c r="I16" s="119"/>
      <c r="J16" s="119"/>
      <c r="M16" s="18">
        <v>0</v>
      </c>
      <c r="N16" s="7">
        <v>50</v>
      </c>
      <c r="O16" s="7">
        <v>40</v>
      </c>
      <c r="P16" s="7">
        <v>30</v>
      </c>
      <c r="Q16" s="19">
        <v>20</v>
      </c>
    </row>
    <row r="17" spans="1:17" ht="12.75">
      <c r="A17" s="119"/>
      <c r="B17" s="119"/>
      <c r="C17" s="119"/>
      <c r="D17" s="126">
        <v>25</v>
      </c>
      <c r="E17" s="125"/>
      <c r="F17" s="119"/>
      <c r="G17" s="126">
        <v>50</v>
      </c>
      <c r="H17" s="125"/>
      <c r="I17" s="119"/>
      <c r="J17" s="119"/>
      <c r="M17" s="18">
        <v>50</v>
      </c>
      <c r="N17" s="7">
        <v>36</v>
      </c>
      <c r="O17" s="7">
        <v>28</v>
      </c>
      <c r="P17" s="7">
        <v>21</v>
      </c>
      <c r="Q17" s="19">
        <v>15</v>
      </c>
    </row>
    <row r="18" spans="1:17" ht="12.75">
      <c r="A18" s="119"/>
      <c r="B18" s="119"/>
      <c r="C18" s="119"/>
      <c r="D18" s="126">
        <v>32</v>
      </c>
      <c r="E18" s="125"/>
      <c r="F18" s="119"/>
      <c r="G18" s="126">
        <v>65</v>
      </c>
      <c r="H18" s="125"/>
      <c r="I18" s="119"/>
      <c r="J18" s="119"/>
      <c r="M18" s="18">
        <v>60</v>
      </c>
      <c r="N18" s="7">
        <v>25</v>
      </c>
      <c r="O18" s="7">
        <v>20</v>
      </c>
      <c r="P18" s="7">
        <v>14</v>
      </c>
      <c r="Q18" s="19">
        <v>11</v>
      </c>
    </row>
    <row r="19" spans="1:17" ht="12.75">
      <c r="A19" s="119"/>
      <c r="B19" s="119"/>
      <c r="C19" s="119"/>
      <c r="D19" s="126">
        <v>40</v>
      </c>
      <c r="E19" s="125"/>
      <c r="F19" s="119"/>
      <c r="G19" s="126">
        <v>100</v>
      </c>
      <c r="H19" s="125"/>
      <c r="I19" s="119"/>
      <c r="J19" s="119"/>
      <c r="M19" s="18">
        <v>70</v>
      </c>
      <c r="N19" s="7">
        <v>19</v>
      </c>
      <c r="O19" s="7">
        <v>15</v>
      </c>
      <c r="P19" s="7">
        <v>11</v>
      </c>
      <c r="Q19" s="19">
        <v>8</v>
      </c>
    </row>
    <row r="20" spans="1:17" ht="12.7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M20" s="18">
        <v>80</v>
      </c>
      <c r="N20" s="7">
        <v>15</v>
      </c>
      <c r="O20" s="7">
        <v>12</v>
      </c>
      <c r="P20" s="7">
        <v>8</v>
      </c>
      <c r="Q20" s="19">
        <v>6</v>
      </c>
    </row>
    <row r="21" spans="1:17" ht="15">
      <c r="A21" s="119"/>
      <c r="B21" s="119"/>
      <c r="C21" s="141" t="s">
        <v>21</v>
      </c>
      <c r="D21" s="119"/>
      <c r="E21" s="119"/>
      <c r="F21" s="119"/>
      <c r="G21" s="119"/>
      <c r="H21" s="119"/>
      <c r="I21" s="119"/>
      <c r="J21" s="119"/>
      <c r="M21" s="18">
        <v>90</v>
      </c>
      <c r="N21" s="7">
        <v>12</v>
      </c>
      <c r="O21" s="7">
        <v>9</v>
      </c>
      <c r="P21" s="7">
        <v>7</v>
      </c>
      <c r="Q21" s="19">
        <v>5</v>
      </c>
    </row>
    <row r="22" spans="1:17" ht="12.75">
      <c r="A22" s="119"/>
      <c r="B22" s="119"/>
      <c r="C22" s="127" t="s">
        <v>22</v>
      </c>
      <c r="D22" s="127"/>
      <c r="E22" s="127"/>
      <c r="F22" s="119"/>
      <c r="G22" s="119"/>
      <c r="H22" s="119"/>
      <c r="I22" s="119"/>
      <c r="J22" s="119"/>
      <c r="M22" s="18">
        <v>100</v>
      </c>
      <c r="N22" s="7">
        <v>10</v>
      </c>
      <c r="O22" s="7">
        <v>8</v>
      </c>
      <c r="P22" s="7">
        <v>6</v>
      </c>
      <c r="Q22" s="19">
        <v>4</v>
      </c>
    </row>
    <row r="23" spans="1:17" ht="14.25">
      <c r="A23" s="119"/>
      <c r="B23" s="119"/>
      <c r="C23" s="127" t="s">
        <v>23</v>
      </c>
      <c r="D23" s="127"/>
      <c r="E23" s="125"/>
      <c r="F23" s="119"/>
      <c r="G23" s="119"/>
      <c r="H23" s="119"/>
      <c r="I23" s="119"/>
      <c r="J23" s="119"/>
      <c r="M23" s="28">
        <v>120</v>
      </c>
      <c r="N23" s="25">
        <v>9</v>
      </c>
      <c r="O23" s="25">
        <v>7</v>
      </c>
      <c r="P23" s="25">
        <v>5</v>
      </c>
      <c r="Q23" s="24">
        <v>3</v>
      </c>
    </row>
    <row r="24" spans="1:10" ht="14.25">
      <c r="A24" s="119"/>
      <c r="B24" s="119"/>
      <c r="C24" s="127" t="s">
        <v>24</v>
      </c>
      <c r="D24" s="127"/>
      <c r="E24" s="125"/>
      <c r="F24" s="119"/>
      <c r="G24" s="119"/>
      <c r="H24" s="119"/>
      <c r="I24" s="119"/>
      <c r="J24" s="119"/>
    </row>
    <row r="25" spans="1:20" ht="14.25">
      <c r="A25" s="119"/>
      <c r="B25" s="119"/>
      <c r="C25" s="127" t="s">
        <v>25</v>
      </c>
      <c r="D25" s="127"/>
      <c r="E25" s="125"/>
      <c r="F25" s="119"/>
      <c r="G25" s="119"/>
      <c r="H25" s="119"/>
      <c r="I25" s="119"/>
      <c r="J25" s="119"/>
      <c r="M25" s="33" t="s">
        <v>18</v>
      </c>
      <c r="N25" s="35"/>
      <c r="O25" s="35"/>
      <c r="P25" s="34"/>
      <c r="R25" s="33" t="s">
        <v>23</v>
      </c>
      <c r="S25" s="35"/>
      <c r="T25" s="34">
        <f>IF(E23&gt;0,E23*0.07*14,"")</f>
      </c>
    </row>
    <row r="26" spans="1:20" ht="14.25">
      <c r="A26" s="119"/>
      <c r="B26" s="119"/>
      <c r="C26" s="127" t="s">
        <v>26</v>
      </c>
      <c r="D26" s="127"/>
      <c r="E26" s="125"/>
      <c r="F26" s="119"/>
      <c r="G26" s="119"/>
      <c r="H26" s="119"/>
      <c r="I26" s="119"/>
      <c r="J26" s="119"/>
      <c r="M26" s="18" t="s">
        <v>35</v>
      </c>
      <c r="N26" s="7" t="s">
        <v>36</v>
      </c>
      <c r="O26" s="7" t="s">
        <v>37</v>
      </c>
      <c r="P26" s="19" t="s">
        <v>38</v>
      </c>
      <c r="R26" s="18" t="s">
        <v>24</v>
      </c>
      <c r="S26" s="7"/>
      <c r="T26" s="36">
        <f>IF(E24&gt;0,E24/2.4*0.07*14,"")</f>
      </c>
    </row>
    <row r="27" spans="1:20" ht="12.7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M27" s="93">
        <v>25</v>
      </c>
      <c r="N27" s="32">
        <v>27.2</v>
      </c>
      <c r="O27" s="37">
        <f aca="true" t="shared" si="0" ref="O27:O32">N27*N27/4*PI()/10000</f>
        <v>0.0581068977207968</v>
      </c>
      <c r="P27" s="94">
        <f>O27*E17*10</f>
        <v>0</v>
      </c>
      <c r="R27" s="18" t="s">
        <v>25</v>
      </c>
      <c r="S27" s="7"/>
      <c r="T27" s="19">
        <f>IF(E25&gt;0,E25*8*14,"")</f>
      </c>
    </row>
    <row r="28" spans="1:20" ht="15.75">
      <c r="A28" s="119"/>
      <c r="B28" s="119"/>
      <c r="C28" s="141" t="s">
        <v>176</v>
      </c>
      <c r="D28" s="119"/>
      <c r="E28" s="119"/>
      <c r="F28" s="119"/>
      <c r="G28" s="128">
        <f>C52</f>
        <v>0</v>
      </c>
      <c r="H28" s="129" t="s">
        <v>10</v>
      </c>
      <c r="I28" s="119"/>
      <c r="J28" s="119"/>
      <c r="M28" s="93">
        <v>32</v>
      </c>
      <c r="N28" s="32">
        <v>35.9</v>
      </c>
      <c r="O28" s="37">
        <f t="shared" si="0"/>
        <v>0.10122290069682653</v>
      </c>
      <c r="P28" s="94">
        <f>O28*E18*10</f>
        <v>0</v>
      </c>
      <c r="R28" s="18" t="s">
        <v>26</v>
      </c>
      <c r="S28" s="7"/>
      <c r="T28" s="19">
        <f>IF(E26&gt;0,E26*0.7*14,"")</f>
      </c>
    </row>
    <row r="29" spans="1:20" ht="12.75">
      <c r="A29" s="119"/>
      <c r="B29" s="119"/>
      <c r="C29" s="119"/>
      <c r="D29" s="119"/>
      <c r="E29" s="119"/>
      <c r="F29" s="119"/>
      <c r="G29" s="119"/>
      <c r="H29" s="119"/>
      <c r="I29" s="119"/>
      <c r="J29" s="119"/>
      <c r="M29" s="93">
        <v>40</v>
      </c>
      <c r="N29" s="32">
        <v>41.8</v>
      </c>
      <c r="O29" s="37">
        <f t="shared" si="0"/>
        <v>0.13722790870145574</v>
      </c>
      <c r="P29" s="94">
        <f>O29*E19*10</f>
        <v>0</v>
      </c>
      <c r="R29" s="28"/>
      <c r="S29" s="25"/>
      <c r="T29" s="24">
        <f>SUM(T25:T28)</f>
        <v>0</v>
      </c>
    </row>
    <row r="30" spans="1:16" ht="14.25">
      <c r="A30" s="119"/>
      <c r="B30" s="140">
        <v>3</v>
      </c>
      <c r="C30" s="119" t="s">
        <v>27</v>
      </c>
      <c r="D30" s="119"/>
      <c r="E30" s="120">
        <v>80</v>
      </c>
      <c r="F30" s="119"/>
      <c r="G30" s="130" t="str">
        <f>IF(OR(E34&gt;2.5,F5+F7&gt;50),"Ångsamlingskärl anslutning","Ångsamlingskärl erfordras ej")</f>
        <v>Ångsamlingskärl erfordras ej</v>
      </c>
      <c r="H30" s="131"/>
      <c r="I30" s="131"/>
      <c r="J30" s="132"/>
      <c r="K30" s="7"/>
      <c r="M30" s="93">
        <v>50</v>
      </c>
      <c r="N30" s="32">
        <v>53</v>
      </c>
      <c r="O30" s="37">
        <f t="shared" si="0"/>
        <v>0.22061834409834324</v>
      </c>
      <c r="P30" s="94">
        <f>O30*H17*10</f>
        <v>0</v>
      </c>
    </row>
    <row r="31" spans="1:16" ht="12.75">
      <c r="A31" s="119"/>
      <c r="B31" s="140">
        <v>4</v>
      </c>
      <c r="C31" s="119" t="s">
        <v>28</v>
      </c>
      <c r="D31" s="119"/>
      <c r="E31" s="120"/>
      <c r="F31" s="119"/>
      <c r="G31" s="133" t="str">
        <f>IF(OR(E34&gt;2.5,F5+F7&gt;50),"Fyll i anslutning på ångsamlingskärlet ovan","Om ångsamlingskärl ej erf, deleta ansl ovan")</f>
        <v>Om ångsamlingskärl ej erf, deleta ansl ovan</v>
      </c>
      <c r="H31" s="134"/>
      <c r="I31" s="134"/>
      <c r="J31" s="135"/>
      <c r="K31" s="7"/>
      <c r="M31" s="93">
        <v>65</v>
      </c>
      <c r="N31" s="32">
        <v>68.8</v>
      </c>
      <c r="O31" s="37">
        <f t="shared" si="0"/>
        <v>0.3717635082552017</v>
      </c>
      <c r="P31" s="94">
        <f>O31*H18*10</f>
        <v>0</v>
      </c>
    </row>
    <row r="32" spans="1:16" ht="12.75">
      <c r="A32" s="119"/>
      <c r="B32" s="119"/>
      <c r="C32" s="119"/>
      <c r="D32" s="119"/>
      <c r="E32" s="119"/>
      <c r="F32" s="119"/>
      <c r="G32" s="119"/>
      <c r="H32" s="119"/>
      <c r="I32" s="119"/>
      <c r="J32" s="119"/>
      <c r="M32" s="93">
        <v>100</v>
      </c>
      <c r="N32" s="32">
        <v>105.3</v>
      </c>
      <c r="O32" s="37">
        <f t="shared" si="0"/>
        <v>0.8708565521585613</v>
      </c>
      <c r="P32" s="94">
        <f>O32*H19*10</f>
        <v>0</v>
      </c>
    </row>
    <row r="33" spans="1:16" ht="12.75">
      <c r="A33" s="119"/>
      <c r="B33" s="140">
        <v>5</v>
      </c>
      <c r="C33" s="119" t="s">
        <v>29</v>
      </c>
      <c r="D33" s="119"/>
      <c r="E33" s="120">
        <v>10</v>
      </c>
      <c r="F33" s="119" t="s">
        <v>30</v>
      </c>
      <c r="G33" s="119"/>
      <c r="H33" s="119"/>
      <c r="I33" s="119"/>
      <c r="J33" s="119"/>
      <c r="M33" s="28"/>
      <c r="N33" s="25"/>
      <c r="O33" s="25"/>
      <c r="P33" s="95">
        <f>SUM(P27:P32)</f>
        <v>0</v>
      </c>
    </row>
    <row r="34" spans="1:10" ht="12.75">
      <c r="A34" s="119"/>
      <c r="B34" s="140">
        <v>6</v>
      </c>
      <c r="C34" s="119" t="s">
        <v>31</v>
      </c>
      <c r="D34" s="119"/>
      <c r="E34" s="120">
        <v>2</v>
      </c>
      <c r="F34" s="119" t="s">
        <v>32</v>
      </c>
      <c r="G34" s="119"/>
      <c r="H34" s="119"/>
      <c r="I34" s="119"/>
      <c r="J34" s="119"/>
    </row>
    <row r="35" spans="1:10" ht="12.75">
      <c r="A35" s="119"/>
      <c r="B35" s="140">
        <v>7</v>
      </c>
      <c r="C35" s="119" t="s">
        <v>33</v>
      </c>
      <c r="D35" s="119"/>
      <c r="E35" s="125">
        <v>15</v>
      </c>
      <c r="F35" s="119" t="s">
        <v>30</v>
      </c>
      <c r="G35" s="119"/>
      <c r="H35" s="119"/>
      <c r="I35" s="119"/>
      <c r="J35" s="119"/>
    </row>
    <row r="36" spans="1:10" ht="12.75">
      <c r="A36" s="119"/>
      <c r="B36" s="140"/>
      <c r="C36" s="119"/>
      <c r="D36" s="119"/>
      <c r="E36" s="119"/>
      <c r="F36" s="119"/>
      <c r="G36" s="119"/>
      <c r="H36" s="119"/>
      <c r="I36" s="119"/>
      <c r="J36" s="119"/>
    </row>
    <row r="37" spans="1:10" ht="12.75">
      <c r="A37" s="119"/>
      <c r="B37" s="140"/>
      <c r="C37" s="119"/>
      <c r="D37" s="119"/>
      <c r="E37" s="119"/>
      <c r="F37" s="119"/>
      <c r="G37" s="119"/>
      <c r="H37" s="119"/>
      <c r="I37" s="119"/>
      <c r="J37" s="119"/>
    </row>
    <row r="38" spans="1:10" ht="12.75">
      <c r="A38" s="119"/>
      <c r="B38" s="119"/>
      <c r="C38" s="119"/>
      <c r="D38" s="119"/>
      <c r="E38" s="119"/>
      <c r="F38" s="119"/>
      <c r="G38" s="119"/>
      <c r="H38" s="119"/>
      <c r="I38" s="119"/>
      <c r="J38" s="119"/>
    </row>
    <row r="39" spans="1:14" ht="12.75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N39">
        <f>VLOOKUP(E30,O41:U52,N40+2)</f>
        <v>0.028999999999999915</v>
      </c>
    </row>
    <row r="40" spans="14:21" ht="12.75" hidden="1">
      <c r="N40">
        <f>ROUND(E31,-1)/10</f>
        <v>0</v>
      </c>
      <c r="P40">
        <v>0</v>
      </c>
      <c r="Q40">
        <v>10</v>
      </c>
      <c r="R40">
        <v>20</v>
      </c>
      <c r="S40">
        <v>30</v>
      </c>
      <c r="T40">
        <v>40</v>
      </c>
      <c r="U40">
        <v>50</v>
      </c>
    </row>
    <row r="41" spans="13:21" ht="12.75" hidden="1">
      <c r="M41">
        <v>20</v>
      </c>
      <c r="N41">
        <f aca="true" t="shared" si="1" ref="N41:N52">$N$39/P41</f>
        <v>16.11111111111085</v>
      </c>
      <c r="O41">
        <v>20</v>
      </c>
      <c r="P41">
        <v>0.0018000000000000238</v>
      </c>
      <c r="Q41">
        <v>0.004</v>
      </c>
      <c r="R41">
        <v>0.006</v>
      </c>
      <c r="S41">
        <v>0.009</v>
      </c>
      <c r="T41">
        <v>0.0146</v>
      </c>
      <c r="U41">
        <v>0.02</v>
      </c>
    </row>
    <row r="42" spans="13:21" ht="12.75" hidden="1">
      <c r="M42">
        <v>30</v>
      </c>
      <c r="N42">
        <f t="shared" si="1"/>
        <v>6.590909090909133</v>
      </c>
      <c r="O42">
        <v>30</v>
      </c>
      <c r="P42" s="1">
        <v>0.0043999999999999595</v>
      </c>
      <c r="Q42">
        <v>0.007</v>
      </c>
      <c r="R42">
        <v>0.009</v>
      </c>
      <c r="S42">
        <v>0.014</v>
      </c>
      <c r="T42">
        <v>0.019</v>
      </c>
      <c r="U42">
        <v>0.025</v>
      </c>
    </row>
    <row r="43" spans="5:21" ht="12.75" hidden="1">
      <c r="E43" s="143">
        <v>1</v>
      </c>
      <c r="M43">
        <v>40</v>
      </c>
      <c r="N43">
        <f t="shared" si="1"/>
        <v>3.670886075949348</v>
      </c>
      <c r="O43">
        <v>40</v>
      </c>
      <c r="P43">
        <v>0.007900000000000018</v>
      </c>
      <c r="Q43">
        <v>0.011</v>
      </c>
      <c r="R43">
        <v>0.014</v>
      </c>
      <c r="S43">
        <v>0.019</v>
      </c>
      <c r="T43">
        <v>0.025</v>
      </c>
      <c r="U43">
        <v>0.032</v>
      </c>
    </row>
    <row r="44" spans="3:21" ht="12.75" hidden="1">
      <c r="C44" t="s">
        <v>34</v>
      </c>
      <c r="E44" s="67">
        <f>IF(E43=1,1,3)</f>
        <v>1</v>
      </c>
      <c r="M44">
        <v>50</v>
      </c>
      <c r="N44">
        <f t="shared" si="1"/>
        <v>2.396694214876026</v>
      </c>
      <c r="O44">
        <v>50</v>
      </c>
      <c r="P44">
        <v>0.0121</v>
      </c>
      <c r="Q44">
        <v>0.015</v>
      </c>
      <c r="R44">
        <v>0.0185</v>
      </c>
      <c r="S44">
        <v>0.024</v>
      </c>
      <c r="T44">
        <v>0.031</v>
      </c>
      <c r="U44">
        <v>0.038</v>
      </c>
    </row>
    <row r="45" spans="3:21" ht="12.75" hidden="1">
      <c r="C45" t="s">
        <v>39</v>
      </c>
      <c r="E45" s="67">
        <f>IF(E43=3,2,1)</f>
        <v>1</v>
      </c>
      <c r="M45">
        <v>60</v>
      </c>
      <c r="N45">
        <f t="shared" si="1"/>
        <v>1.6959064327485436</v>
      </c>
      <c r="O45">
        <v>60</v>
      </c>
      <c r="P45">
        <v>0.017099999999999893</v>
      </c>
      <c r="Q45">
        <v>0.02</v>
      </c>
      <c r="R45">
        <v>0.0235</v>
      </c>
      <c r="S45">
        <v>0.031</v>
      </c>
      <c r="T45">
        <v>0.038</v>
      </c>
      <c r="U45">
        <v>0.044</v>
      </c>
    </row>
    <row r="46" spans="9:21" ht="12.75" hidden="1">
      <c r="I46" s="4"/>
      <c r="J46" s="14"/>
      <c r="K46" s="1"/>
      <c r="L46" s="15"/>
      <c r="M46">
        <v>70</v>
      </c>
      <c r="N46">
        <f t="shared" si="1"/>
        <v>1.2719298245614037</v>
      </c>
      <c r="O46">
        <v>70</v>
      </c>
      <c r="P46">
        <v>0.02279999999999993</v>
      </c>
      <c r="Q46" s="1">
        <v>0.026</v>
      </c>
      <c r="R46">
        <v>0.032</v>
      </c>
      <c r="S46">
        <v>0.037</v>
      </c>
      <c r="T46">
        <v>0.045</v>
      </c>
      <c r="U46">
        <v>0.052</v>
      </c>
    </row>
    <row r="47" spans="3:21" ht="12.75" hidden="1">
      <c r="C47" t="s">
        <v>40</v>
      </c>
      <c r="E47" s="11">
        <f>F10</f>
        <v>0</v>
      </c>
      <c r="F47">
        <f>IF(F10&gt;0,F10,"")</f>
      </c>
      <c r="I47" s="4"/>
      <c r="J47" s="14"/>
      <c r="K47" s="1"/>
      <c r="L47" s="15"/>
      <c r="M47">
        <v>80</v>
      </c>
      <c r="N47">
        <f t="shared" si="1"/>
        <v>1</v>
      </c>
      <c r="O47">
        <v>80</v>
      </c>
      <c r="P47" s="1">
        <v>0.028999999999999915</v>
      </c>
      <c r="Q47">
        <v>0.032</v>
      </c>
      <c r="R47">
        <v>0.038</v>
      </c>
      <c r="S47">
        <v>0.045</v>
      </c>
      <c r="T47">
        <v>0.052</v>
      </c>
      <c r="U47" s="1">
        <v>0.06</v>
      </c>
    </row>
    <row r="48" spans="3:21" ht="12.75" hidden="1">
      <c r="C48" t="s">
        <v>41</v>
      </c>
      <c r="E48" s="12">
        <f>IF(F10&gt;0,0,M13)</f>
        <v>0</v>
      </c>
      <c r="F48" s="11">
        <f>IF(E48&gt;0,E48,"")</f>
      </c>
      <c r="I48" s="4"/>
      <c r="J48" s="14"/>
      <c r="K48" s="1"/>
      <c r="L48" s="15"/>
      <c r="M48">
        <v>90</v>
      </c>
      <c r="N48">
        <f t="shared" si="1"/>
        <v>0.8077994428969335</v>
      </c>
      <c r="O48">
        <v>90</v>
      </c>
      <c r="P48">
        <v>0.0359</v>
      </c>
      <c r="Q48" t="s">
        <v>61</v>
      </c>
      <c r="R48" t="s">
        <v>61</v>
      </c>
      <c r="S48" t="s">
        <v>61</v>
      </c>
      <c r="T48" t="s">
        <v>61</v>
      </c>
      <c r="U48" t="s">
        <v>61</v>
      </c>
    </row>
    <row r="49" spans="3:21" ht="12.75" hidden="1">
      <c r="C49" t="s">
        <v>42</v>
      </c>
      <c r="E49" s="12">
        <f>IF((F10+E48)&gt;0,0,T29)</f>
        <v>0</v>
      </c>
      <c r="F49">
        <f>IF(E49&gt;0,E49,"")</f>
      </c>
      <c r="I49" s="4"/>
      <c r="J49" s="14"/>
      <c r="K49" s="1"/>
      <c r="L49" s="15"/>
      <c r="M49">
        <v>100</v>
      </c>
      <c r="N49">
        <f t="shared" si="1"/>
        <v>0.6666666666666647</v>
      </c>
      <c r="O49">
        <v>100</v>
      </c>
      <c r="P49">
        <v>0.0435</v>
      </c>
      <c r="Q49" t="s">
        <v>61</v>
      </c>
      <c r="R49" t="s">
        <v>61</v>
      </c>
      <c r="S49" t="s">
        <v>61</v>
      </c>
      <c r="T49" t="s">
        <v>61</v>
      </c>
      <c r="U49" t="s">
        <v>61</v>
      </c>
    </row>
    <row r="50" spans="3:21" ht="12.75" hidden="1">
      <c r="C50" t="s">
        <v>18</v>
      </c>
      <c r="E50" s="5"/>
      <c r="F50" s="13">
        <f>P33</f>
        <v>0</v>
      </c>
      <c r="I50" s="4"/>
      <c r="J50" s="14"/>
      <c r="K50" s="1"/>
      <c r="L50" s="15"/>
      <c r="M50">
        <v>110</v>
      </c>
      <c r="N50">
        <f t="shared" si="1"/>
        <v>0.5631067961165033</v>
      </c>
      <c r="O50">
        <v>110</v>
      </c>
      <c r="P50">
        <v>0.0515</v>
      </c>
      <c r="Q50" t="s">
        <v>61</v>
      </c>
      <c r="R50" t="s">
        <v>61</v>
      </c>
      <c r="S50" t="s">
        <v>61</v>
      </c>
      <c r="T50" t="s">
        <v>61</v>
      </c>
      <c r="U50" t="s">
        <v>61</v>
      </c>
    </row>
    <row r="51" spans="1:21" ht="12.75" hidden="1">
      <c r="A51" t="s">
        <v>43</v>
      </c>
      <c r="F51" s="11"/>
      <c r="I51" s="4"/>
      <c r="J51" s="14"/>
      <c r="K51" s="1"/>
      <c r="L51" s="15"/>
      <c r="M51">
        <v>120</v>
      </c>
      <c r="N51">
        <f t="shared" si="1"/>
        <v>0.48092868988391235</v>
      </c>
      <c r="O51">
        <v>120</v>
      </c>
      <c r="P51">
        <v>0.0603</v>
      </c>
      <c r="Q51" t="s">
        <v>61</v>
      </c>
      <c r="R51" t="s">
        <v>61</v>
      </c>
      <c r="S51" t="s">
        <v>61</v>
      </c>
      <c r="T51" t="s">
        <v>61</v>
      </c>
      <c r="U51" t="s">
        <v>61</v>
      </c>
    </row>
    <row r="52" spans="1:21" ht="12.75" hidden="1">
      <c r="A52" t="s">
        <v>44</v>
      </c>
      <c r="C52" s="9">
        <f>SUM(F47:F50)</f>
        <v>0</v>
      </c>
      <c r="D52" t="s">
        <v>10</v>
      </c>
      <c r="L52" s="15"/>
      <c r="M52">
        <v>130</v>
      </c>
      <c r="N52">
        <f t="shared" si="1"/>
        <v>0.4027777777777766</v>
      </c>
      <c r="O52">
        <v>130</v>
      </c>
      <c r="P52" s="1">
        <v>0.072</v>
      </c>
      <c r="Q52" t="s">
        <v>61</v>
      </c>
      <c r="R52" t="s">
        <v>61</v>
      </c>
      <c r="S52" t="s">
        <v>61</v>
      </c>
      <c r="T52" t="s">
        <v>61</v>
      </c>
      <c r="U52" t="s">
        <v>61</v>
      </c>
    </row>
    <row r="53" spans="1:4" ht="12.75" hidden="1">
      <c r="A53" t="s">
        <v>45</v>
      </c>
      <c r="C53" s="9">
        <f>C52*D79*N54</f>
        <v>0</v>
      </c>
      <c r="D53" t="s">
        <v>10</v>
      </c>
    </row>
    <row r="54" spans="1:14" ht="12.75" hidden="1">
      <c r="A54" t="s">
        <v>46</v>
      </c>
      <c r="C54" s="10">
        <f>E33*10</f>
        <v>100</v>
      </c>
      <c r="D54" t="s">
        <v>47</v>
      </c>
      <c r="N54">
        <f>VLOOKUP(E30,M41:N52,2)</f>
        <v>1</v>
      </c>
    </row>
    <row r="55" spans="1:4" ht="12.75" hidden="1">
      <c r="A55" t="s">
        <v>48</v>
      </c>
      <c r="C55" s="10">
        <f>E34*0.9</f>
        <v>1.8</v>
      </c>
      <c r="D55" t="s">
        <v>32</v>
      </c>
    </row>
    <row r="56" spans="1:19" ht="12.75" hidden="1">
      <c r="A56" t="s">
        <v>49</v>
      </c>
      <c r="C56" s="9">
        <f>(C55-C54/100)/(1+C55)*100</f>
        <v>28.571428571428577</v>
      </c>
      <c r="D56" t="s">
        <v>50</v>
      </c>
      <c r="L56">
        <f>IF(M56&gt;0,M56,IF(O56&gt;0,O56,IF(Q56&gt;0,Q56,IF(S56&gt;0,S56,"går ej"))))</f>
        <v>4</v>
      </c>
      <c r="M56">
        <f>IF($E$34&lt;=M57,VLOOKUP($C$57,M58:N78,2),0)</f>
        <v>4</v>
      </c>
      <c r="O56">
        <f>IF($E$34&lt;=O57,VLOOKUP($C$57,O58:P78,2),0)</f>
        <v>4</v>
      </c>
      <c r="Q56">
        <f>IF($E$34&lt;=Q57,VLOOKUP($C$57,Q58:R78,2),0)</f>
        <v>80</v>
      </c>
      <c r="S56">
        <f>IF($E$34&lt;=S57,VLOOKUP($C$57,S58:T80,2),0)</f>
        <v>300</v>
      </c>
    </row>
    <row r="57" spans="1:20" ht="12.75" hidden="1">
      <c r="A57" t="s">
        <v>51</v>
      </c>
      <c r="C57" s="9">
        <f>C53/C56*100</f>
        <v>0</v>
      </c>
      <c r="D57" t="s">
        <v>10</v>
      </c>
      <c r="F57" s="7"/>
      <c r="G57" s="7"/>
      <c r="I57" s="7"/>
      <c r="J57" s="7"/>
      <c r="K57" s="7"/>
      <c r="M57" s="90">
        <v>4</v>
      </c>
      <c r="N57" s="34"/>
      <c r="O57" s="90">
        <v>5</v>
      </c>
      <c r="P57" s="34"/>
      <c r="Q57" s="90">
        <v>6</v>
      </c>
      <c r="R57" s="34"/>
      <c r="S57" s="90">
        <v>8</v>
      </c>
      <c r="T57" s="34"/>
    </row>
    <row r="58" spans="3:23" ht="12.75" hidden="1">
      <c r="C58" s="12"/>
      <c r="F58" s="33">
        <v>0</v>
      </c>
      <c r="G58" s="35">
        <v>4</v>
      </c>
      <c r="H58" s="34"/>
      <c r="I58" s="33">
        <v>0</v>
      </c>
      <c r="J58" s="35">
        <v>200</v>
      </c>
      <c r="K58" s="34"/>
      <c r="L58" s="7"/>
      <c r="M58" s="18">
        <v>0</v>
      </c>
      <c r="N58" s="19">
        <v>4</v>
      </c>
      <c r="O58" s="18">
        <v>0</v>
      </c>
      <c r="P58" s="19">
        <v>4</v>
      </c>
      <c r="Q58" s="81">
        <v>0</v>
      </c>
      <c r="R58" s="91">
        <v>80</v>
      </c>
      <c r="S58" s="81">
        <v>0</v>
      </c>
      <c r="T58" s="91">
        <v>300</v>
      </c>
      <c r="U58" s="7"/>
      <c r="V58" s="7"/>
      <c r="W58" s="7"/>
    </row>
    <row r="59" spans="1:23" ht="12.75" hidden="1">
      <c r="A59" t="s">
        <v>52</v>
      </c>
      <c r="C59" s="12" t="s">
        <v>53</v>
      </c>
      <c r="D59" s="48">
        <f>L56</f>
        <v>4</v>
      </c>
      <c r="E59" s="60">
        <f>IF((F5+F6+F7)&lt;=50,D59,"")</f>
        <v>4</v>
      </c>
      <c r="F59" s="18">
        <v>4</v>
      </c>
      <c r="G59" s="7">
        <v>8</v>
      </c>
      <c r="H59" s="19"/>
      <c r="I59" s="18">
        <v>200</v>
      </c>
      <c r="J59" s="7">
        <v>300</v>
      </c>
      <c r="K59" s="19"/>
      <c r="L59" s="7"/>
      <c r="M59" s="18">
        <v>4</v>
      </c>
      <c r="N59" s="19">
        <v>8</v>
      </c>
      <c r="O59" s="18">
        <v>4</v>
      </c>
      <c r="P59" s="19">
        <v>8</v>
      </c>
      <c r="Q59" s="81"/>
      <c r="R59" s="91">
        <v>80</v>
      </c>
      <c r="S59" s="18"/>
      <c r="T59" s="91">
        <v>300</v>
      </c>
      <c r="U59" s="7"/>
      <c r="V59" s="7"/>
      <c r="W59" s="7"/>
    </row>
    <row r="60" spans="5:23" ht="12.75" hidden="1">
      <c r="E60" s="17">
        <f>IF(SUM(F5:F7)&gt;0,E59,"")</f>
      </c>
      <c r="F60" s="18">
        <v>8</v>
      </c>
      <c r="G60" s="7">
        <v>12</v>
      </c>
      <c r="H60" s="19"/>
      <c r="I60" s="18">
        <v>300</v>
      </c>
      <c r="J60" s="7">
        <v>500</v>
      </c>
      <c r="K60" s="19"/>
      <c r="L60" s="7"/>
      <c r="M60" s="18">
        <v>8</v>
      </c>
      <c r="N60" s="91">
        <v>12</v>
      </c>
      <c r="O60" s="18">
        <v>8</v>
      </c>
      <c r="P60" s="91">
        <v>80</v>
      </c>
      <c r="Q60" s="81"/>
      <c r="R60" s="91">
        <v>80</v>
      </c>
      <c r="S60" s="18"/>
      <c r="T60" s="91">
        <v>300</v>
      </c>
      <c r="U60" s="7"/>
      <c r="V60" s="7"/>
      <c r="W60" s="7"/>
    </row>
    <row r="61" spans="5:23" ht="12.75" hidden="1">
      <c r="E61" s="23">
        <f>IF(E34&gt;2.5,"",E60)</f>
      </c>
      <c r="F61" s="18">
        <v>12</v>
      </c>
      <c r="G61" s="7">
        <v>18</v>
      </c>
      <c r="H61" s="19"/>
      <c r="I61" s="18">
        <v>500</v>
      </c>
      <c r="J61" s="7">
        <v>800</v>
      </c>
      <c r="K61" s="19"/>
      <c r="L61" s="7"/>
      <c r="M61" s="81">
        <v>12</v>
      </c>
      <c r="N61" s="91">
        <v>18</v>
      </c>
      <c r="O61" s="81"/>
      <c r="P61" s="91">
        <v>80</v>
      </c>
      <c r="Q61" s="81"/>
      <c r="R61" s="91">
        <v>80</v>
      </c>
      <c r="S61" s="81"/>
      <c r="T61" s="91">
        <v>300</v>
      </c>
      <c r="U61" s="7"/>
      <c r="V61" s="7"/>
      <c r="W61" s="7"/>
    </row>
    <row r="62" spans="5:23" ht="12.75" hidden="1">
      <c r="E62" s="60">
        <f>IF((F5+F6+F7)&lt;=100,D59,"")</f>
        <v>4</v>
      </c>
      <c r="F62" s="18">
        <v>18</v>
      </c>
      <c r="G62" s="7">
        <v>25</v>
      </c>
      <c r="H62" s="19"/>
      <c r="I62" s="18">
        <v>800</v>
      </c>
      <c r="J62" s="7">
        <v>1000</v>
      </c>
      <c r="K62" s="19"/>
      <c r="L62" s="7"/>
      <c r="M62" s="81">
        <v>18</v>
      </c>
      <c r="N62" s="91">
        <v>25</v>
      </c>
      <c r="O62" s="81"/>
      <c r="P62" s="91">
        <v>80</v>
      </c>
      <c r="Q62" s="81"/>
      <c r="R62" s="91">
        <v>80</v>
      </c>
      <c r="S62" s="81"/>
      <c r="T62" s="91">
        <v>300</v>
      </c>
      <c r="U62" s="7"/>
      <c r="V62" s="7"/>
      <c r="W62" s="7"/>
    </row>
    <row r="63" spans="5:23" ht="12.75" hidden="1">
      <c r="E63" s="17">
        <f>IF(SUM(F5:F7)&gt;0,E62,"")</f>
      </c>
      <c r="F63" s="18">
        <v>25</v>
      </c>
      <c r="G63" s="7">
        <v>35</v>
      </c>
      <c r="H63" s="19"/>
      <c r="I63" s="18">
        <v>1000</v>
      </c>
      <c r="J63" s="7">
        <v>1500</v>
      </c>
      <c r="K63" s="19"/>
      <c r="L63" s="7"/>
      <c r="M63" s="81">
        <v>25</v>
      </c>
      <c r="N63" s="91">
        <v>35</v>
      </c>
      <c r="O63" s="81"/>
      <c r="P63" s="91">
        <v>80</v>
      </c>
      <c r="Q63" s="81"/>
      <c r="R63" s="91">
        <v>80</v>
      </c>
      <c r="S63" s="81"/>
      <c r="T63" s="91">
        <v>300</v>
      </c>
      <c r="U63" s="7"/>
      <c r="V63" s="7"/>
      <c r="W63" s="7"/>
    </row>
    <row r="64" spans="5:23" ht="12.75" hidden="1">
      <c r="E64" s="23">
        <f>IF(E34&gt;2.5,"",E63)</f>
      </c>
      <c r="F64" s="18">
        <v>35</v>
      </c>
      <c r="G64" s="7">
        <v>50</v>
      </c>
      <c r="H64" s="19"/>
      <c r="I64" s="18">
        <v>1500</v>
      </c>
      <c r="J64" s="7">
        <v>2000</v>
      </c>
      <c r="K64" s="19"/>
      <c r="L64" s="7"/>
      <c r="M64" s="81">
        <v>35</v>
      </c>
      <c r="N64" s="91">
        <v>50</v>
      </c>
      <c r="O64" s="81"/>
      <c r="P64" s="91">
        <v>80</v>
      </c>
      <c r="Q64" s="81"/>
      <c r="R64" s="91">
        <v>80</v>
      </c>
      <c r="S64" s="81"/>
      <c r="T64" s="91">
        <v>300</v>
      </c>
      <c r="U64" s="7"/>
      <c r="V64" s="7"/>
      <c r="W64" s="7"/>
    </row>
    <row r="65" spans="6:23" ht="12.75" hidden="1">
      <c r="F65" s="18">
        <v>50</v>
      </c>
      <c r="G65" s="7">
        <v>80</v>
      </c>
      <c r="H65" s="19"/>
      <c r="I65" s="18">
        <v>2000</v>
      </c>
      <c r="J65" s="7">
        <v>2500</v>
      </c>
      <c r="K65" s="19"/>
      <c r="L65" s="7"/>
      <c r="M65" s="81">
        <v>50</v>
      </c>
      <c r="N65" s="91">
        <v>80</v>
      </c>
      <c r="O65" s="81"/>
      <c r="P65" s="91">
        <v>80</v>
      </c>
      <c r="Q65" s="81"/>
      <c r="R65" s="91">
        <v>80</v>
      </c>
      <c r="S65" s="81"/>
      <c r="T65" s="91">
        <v>300</v>
      </c>
      <c r="U65" s="7"/>
      <c r="V65" s="7"/>
      <c r="W65" s="7"/>
    </row>
    <row r="66" spans="6:23" ht="12.75" hidden="1">
      <c r="F66" s="81">
        <v>80</v>
      </c>
      <c r="G66" s="82">
        <v>105</v>
      </c>
      <c r="I66" s="18">
        <v>2500</v>
      </c>
      <c r="J66" s="7">
        <v>3000</v>
      </c>
      <c r="K66" s="19"/>
      <c r="L66" s="7"/>
      <c r="M66" s="81">
        <v>80</v>
      </c>
      <c r="N66" s="91">
        <v>105</v>
      </c>
      <c r="O66" s="81">
        <v>80</v>
      </c>
      <c r="P66" s="91">
        <v>105</v>
      </c>
      <c r="Q66" s="81">
        <v>80</v>
      </c>
      <c r="R66" s="91">
        <v>105</v>
      </c>
      <c r="S66" s="81"/>
      <c r="T66" s="91">
        <v>300</v>
      </c>
      <c r="U66" s="7"/>
      <c r="V66" s="7"/>
      <c r="W66" s="7"/>
    </row>
    <row r="67" spans="6:23" ht="12.75" hidden="1">
      <c r="F67" s="18">
        <v>105</v>
      </c>
      <c r="G67" s="7">
        <v>150</v>
      </c>
      <c r="H67" s="19"/>
      <c r="I67" s="18">
        <v>3000</v>
      </c>
      <c r="J67" s="7">
        <v>4000</v>
      </c>
      <c r="K67" s="19"/>
      <c r="L67" s="7"/>
      <c r="M67" s="81">
        <v>105</v>
      </c>
      <c r="N67" s="91">
        <v>150</v>
      </c>
      <c r="O67" s="81">
        <v>105</v>
      </c>
      <c r="P67" s="91">
        <v>150</v>
      </c>
      <c r="Q67" s="81">
        <v>105</v>
      </c>
      <c r="R67" s="91">
        <v>150</v>
      </c>
      <c r="S67" s="81"/>
      <c r="T67" s="91">
        <v>300</v>
      </c>
      <c r="U67" s="7"/>
      <c r="V67" s="7"/>
      <c r="W67" s="7"/>
    </row>
    <row r="68" spans="6:23" ht="12.75" hidden="1">
      <c r="F68" s="18">
        <v>150</v>
      </c>
      <c r="G68" s="7">
        <v>200</v>
      </c>
      <c r="H68" s="19"/>
      <c r="I68" s="18">
        <v>4000</v>
      </c>
      <c r="J68" s="7">
        <v>5000</v>
      </c>
      <c r="K68" s="19"/>
      <c r="L68" s="7"/>
      <c r="M68" s="81">
        <v>150</v>
      </c>
      <c r="N68" s="91">
        <v>200</v>
      </c>
      <c r="O68" s="81">
        <v>150</v>
      </c>
      <c r="P68" s="91">
        <v>200</v>
      </c>
      <c r="Q68" s="81">
        <v>150</v>
      </c>
      <c r="R68" s="91">
        <v>200</v>
      </c>
      <c r="S68" s="81"/>
      <c r="T68" s="91">
        <v>300</v>
      </c>
      <c r="U68" s="7"/>
      <c r="V68" s="7"/>
      <c r="W68" s="7"/>
    </row>
    <row r="69" spans="6:23" ht="12.75" hidden="1">
      <c r="F69" s="18">
        <v>200</v>
      </c>
      <c r="G69" s="7">
        <v>300</v>
      </c>
      <c r="H69" s="19"/>
      <c r="I69" s="18">
        <v>5000</v>
      </c>
      <c r="J69" s="7">
        <v>6000</v>
      </c>
      <c r="K69" s="19"/>
      <c r="L69" s="7"/>
      <c r="M69" s="81">
        <v>200</v>
      </c>
      <c r="N69" s="91">
        <v>250</v>
      </c>
      <c r="O69" s="81">
        <v>200</v>
      </c>
      <c r="P69" s="91">
        <v>250</v>
      </c>
      <c r="Q69" s="81">
        <v>200</v>
      </c>
      <c r="R69" s="91">
        <v>250</v>
      </c>
      <c r="S69" s="81"/>
      <c r="T69" s="91">
        <v>300</v>
      </c>
      <c r="U69" s="7"/>
      <c r="V69" s="7"/>
      <c r="W69" s="7"/>
    </row>
    <row r="70" spans="6:20" ht="12.75" hidden="1">
      <c r="F70" s="18">
        <v>300</v>
      </c>
      <c r="G70" s="7">
        <v>500</v>
      </c>
      <c r="H70" s="19"/>
      <c r="I70" s="28">
        <v>6000</v>
      </c>
      <c r="J70" s="25" t="s">
        <v>55</v>
      </c>
      <c r="K70" s="24"/>
      <c r="M70" s="81">
        <v>250</v>
      </c>
      <c r="N70" s="91">
        <v>300</v>
      </c>
      <c r="O70" s="81">
        <v>250</v>
      </c>
      <c r="P70" s="91">
        <v>300</v>
      </c>
      <c r="Q70" s="81">
        <v>250</v>
      </c>
      <c r="R70" s="91">
        <v>300</v>
      </c>
      <c r="S70" s="81"/>
      <c r="T70" s="91">
        <v>300</v>
      </c>
    </row>
    <row r="71" spans="6:20" ht="12.75" hidden="1">
      <c r="F71" s="18">
        <v>500</v>
      </c>
      <c r="G71" s="7">
        <v>700</v>
      </c>
      <c r="H71" s="19"/>
      <c r="M71" s="81">
        <v>300</v>
      </c>
      <c r="N71" s="91">
        <v>400</v>
      </c>
      <c r="O71" s="81">
        <v>300</v>
      </c>
      <c r="P71" s="91">
        <v>400</v>
      </c>
      <c r="Q71" s="81">
        <v>300</v>
      </c>
      <c r="R71" s="91">
        <v>400</v>
      </c>
      <c r="S71" s="81">
        <v>300</v>
      </c>
      <c r="T71" s="91">
        <v>500</v>
      </c>
    </row>
    <row r="72" spans="3:20" ht="12.75" hidden="1">
      <c r="C72" t="s">
        <v>54</v>
      </c>
      <c r="D72">
        <f>VLOOKUP(C53,I58:J70,2)</f>
        <v>200</v>
      </c>
      <c r="F72" s="18">
        <v>700</v>
      </c>
      <c r="G72" s="7">
        <v>900</v>
      </c>
      <c r="H72" s="19"/>
      <c r="M72" s="81">
        <v>400</v>
      </c>
      <c r="N72" s="91">
        <v>500</v>
      </c>
      <c r="O72" s="81">
        <v>400</v>
      </c>
      <c r="P72" s="91">
        <v>500</v>
      </c>
      <c r="Q72" s="81">
        <v>400</v>
      </c>
      <c r="R72" s="91">
        <v>500</v>
      </c>
      <c r="S72" s="81"/>
      <c r="T72" s="91">
        <v>500</v>
      </c>
    </row>
    <row r="73" spans="6:20" ht="12.75" hidden="1">
      <c r="F73" s="18">
        <v>900</v>
      </c>
      <c r="G73" s="31" t="s">
        <v>56</v>
      </c>
      <c r="H73" s="19"/>
      <c r="M73" s="81">
        <v>500</v>
      </c>
      <c r="N73" s="91">
        <v>600</v>
      </c>
      <c r="O73" s="81">
        <v>500</v>
      </c>
      <c r="P73" s="91">
        <v>600</v>
      </c>
      <c r="Q73" s="81">
        <v>500</v>
      </c>
      <c r="R73" s="91">
        <v>600</v>
      </c>
      <c r="S73" s="81">
        <v>500</v>
      </c>
      <c r="T73" s="91">
        <v>700</v>
      </c>
    </row>
    <row r="74" spans="6:20" ht="12.75" hidden="1">
      <c r="F74" s="58">
        <v>1000</v>
      </c>
      <c r="G74" s="31" t="s">
        <v>57</v>
      </c>
      <c r="H74" s="19"/>
      <c r="M74" s="81">
        <v>600</v>
      </c>
      <c r="N74" s="91">
        <v>700</v>
      </c>
      <c r="O74" s="81">
        <v>600</v>
      </c>
      <c r="P74" s="91">
        <v>700</v>
      </c>
      <c r="Q74" s="81">
        <v>600</v>
      </c>
      <c r="R74" s="91">
        <v>700</v>
      </c>
      <c r="S74" s="81"/>
      <c r="T74" s="91">
        <v>700</v>
      </c>
    </row>
    <row r="75" spans="6:20" ht="12.75" hidden="1">
      <c r="F75" s="58">
        <v>1400</v>
      </c>
      <c r="G75" s="31" t="s">
        <v>58</v>
      </c>
      <c r="H75" s="19"/>
      <c r="M75" s="81">
        <v>700</v>
      </c>
      <c r="N75" s="91">
        <v>800</v>
      </c>
      <c r="O75" s="81">
        <v>700</v>
      </c>
      <c r="P75" s="91">
        <v>800</v>
      </c>
      <c r="Q75" s="81">
        <v>700</v>
      </c>
      <c r="R75" s="91">
        <v>800</v>
      </c>
      <c r="S75" s="81">
        <v>700</v>
      </c>
      <c r="T75" s="91">
        <v>900</v>
      </c>
    </row>
    <row r="76" spans="6:20" ht="12.75" hidden="1">
      <c r="F76" s="59">
        <v>1800</v>
      </c>
      <c r="G76" s="25" t="s">
        <v>59</v>
      </c>
      <c r="H76" s="24"/>
      <c r="M76" s="81">
        <v>800</v>
      </c>
      <c r="N76" s="91">
        <v>900</v>
      </c>
      <c r="O76" s="81">
        <v>800</v>
      </c>
      <c r="P76" s="91">
        <v>900</v>
      </c>
      <c r="Q76" s="81">
        <v>800</v>
      </c>
      <c r="R76" s="91">
        <v>900</v>
      </c>
      <c r="S76" s="81"/>
      <c r="T76" s="91">
        <v>900</v>
      </c>
    </row>
    <row r="77" spans="13:20" ht="12.75" hidden="1">
      <c r="M77" s="81">
        <v>900</v>
      </c>
      <c r="N77" s="91">
        <v>1000</v>
      </c>
      <c r="O77" s="81">
        <v>900</v>
      </c>
      <c r="P77" s="91">
        <v>1000</v>
      </c>
      <c r="Q77" s="81">
        <v>900</v>
      </c>
      <c r="R77" s="91">
        <v>1000</v>
      </c>
      <c r="S77" s="116">
        <v>900</v>
      </c>
      <c r="T77" s="117" t="s">
        <v>56</v>
      </c>
    </row>
    <row r="78" spans="13:20" ht="12.75" hidden="1">
      <c r="M78" s="89">
        <v>1000</v>
      </c>
      <c r="N78" s="24"/>
      <c r="O78" s="89">
        <v>1000</v>
      </c>
      <c r="P78" s="24"/>
      <c r="Q78" s="89">
        <v>1000</v>
      </c>
      <c r="R78" s="25"/>
      <c r="S78" s="18">
        <v>1000</v>
      </c>
      <c r="T78" s="117" t="s">
        <v>57</v>
      </c>
    </row>
    <row r="79" spans="2:20" ht="12.75" hidden="1">
      <c r="B79" s="33">
        <v>0</v>
      </c>
      <c r="C79" s="35">
        <v>0.00019999999999997797</v>
      </c>
      <c r="D79" s="34">
        <f>VLOOKUP(E30,B79:C199,2)</f>
        <v>0.028999999999999915</v>
      </c>
      <c r="S79" s="81">
        <v>1400</v>
      </c>
      <c r="T79" s="117" t="s">
        <v>58</v>
      </c>
    </row>
    <row r="80" spans="2:20" ht="12.75" hidden="1">
      <c r="B80" s="18">
        <v>1</v>
      </c>
      <c r="C80" s="37">
        <v>0.00015999999999998237</v>
      </c>
      <c r="D80" s="19"/>
      <c r="J80" s="7"/>
      <c r="S80" s="89">
        <v>1800</v>
      </c>
      <c r="T80" s="24"/>
    </row>
    <row r="81" spans="2:10" ht="12.75" hidden="1">
      <c r="B81" s="18">
        <v>2</v>
      </c>
      <c r="C81" s="37">
        <v>0.00011999999999998679</v>
      </c>
      <c r="D81" s="19"/>
      <c r="J81" s="7"/>
    </row>
    <row r="82" spans="2:4" ht="12.75" hidden="1">
      <c r="B82" s="18">
        <v>3</v>
      </c>
      <c r="C82" s="37">
        <v>7.99999999999912E-05</v>
      </c>
      <c r="D82" s="19"/>
    </row>
    <row r="83" spans="2:4" ht="12.75" hidden="1">
      <c r="B83" s="18">
        <v>4</v>
      </c>
      <c r="C83" s="37">
        <v>3.9999999999995605E-05</v>
      </c>
      <c r="D83" s="19"/>
    </row>
    <row r="84" spans="2:4" ht="12.75" hidden="1">
      <c r="B84" s="18">
        <v>5</v>
      </c>
      <c r="C84" s="37">
        <v>0</v>
      </c>
      <c r="D84" s="19"/>
    </row>
    <row r="85" spans="2:4" ht="12.75" hidden="1">
      <c r="B85" s="18">
        <v>6</v>
      </c>
      <c r="C85" s="37">
        <v>7.999999999999118E-05</v>
      </c>
      <c r="D85" s="19"/>
    </row>
    <row r="86" spans="2:4" ht="12.75" hidden="1">
      <c r="B86" s="18">
        <v>7</v>
      </c>
      <c r="C86" s="37">
        <v>0.00015999999999998237</v>
      </c>
      <c r="D86" s="19"/>
    </row>
    <row r="87" spans="2:4" ht="12.75" hidden="1">
      <c r="B87" s="18">
        <v>8</v>
      </c>
      <c r="C87" s="37">
        <v>0.00023999999999997355</v>
      </c>
      <c r="D87" s="19"/>
    </row>
    <row r="88" spans="2:4" ht="12.75" hidden="1">
      <c r="B88" s="18">
        <v>9</v>
      </c>
      <c r="C88" s="37">
        <v>0.00031999999999996474</v>
      </c>
      <c r="D88" s="19"/>
    </row>
    <row r="89" spans="2:4" ht="12.75" hidden="1">
      <c r="B89" s="18">
        <v>10</v>
      </c>
      <c r="C89" s="7">
        <v>0.00039999999999995595</v>
      </c>
      <c r="D89" s="19"/>
    </row>
    <row r="90" spans="2:4" ht="12.75" hidden="1">
      <c r="B90" s="18">
        <v>11</v>
      </c>
      <c r="C90" s="37">
        <v>0.0005199999999999427</v>
      </c>
      <c r="D90" s="19"/>
    </row>
    <row r="91" spans="2:4" ht="12.75" hidden="1">
      <c r="B91" s="18">
        <v>12</v>
      </c>
      <c r="C91" s="37">
        <v>0.0006399999999999295</v>
      </c>
      <c r="D91" s="19"/>
    </row>
    <row r="92" spans="2:4" ht="12.75" hidden="1">
      <c r="B92" s="18">
        <v>13</v>
      </c>
      <c r="C92" s="37">
        <v>0.0007599999999999163</v>
      </c>
      <c r="D92" s="19"/>
    </row>
    <row r="93" spans="2:4" ht="12.75" hidden="1">
      <c r="B93" s="18">
        <v>14</v>
      </c>
      <c r="C93" s="37">
        <v>0.0008799999999999031</v>
      </c>
      <c r="D93" s="19"/>
    </row>
    <row r="94" spans="2:19" ht="12.75" hidden="1">
      <c r="B94" s="18">
        <v>15</v>
      </c>
      <c r="C94" s="37">
        <v>0.0009999999999998899</v>
      </c>
      <c r="D94" s="19"/>
      <c r="F94" s="33"/>
      <c r="G94" s="35"/>
      <c r="H94" s="35">
        <v>1.5</v>
      </c>
      <c r="I94" s="35">
        <v>2</v>
      </c>
      <c r="J94" s="35">
        <v>2.5</v>
      </c>
      <c r="K94" s="35">
        <v>3</v>
      </c>
      <c r="L94" s="35">
        <v>3.5</v>
      </c>
      <c r="M94" s="35">
        <v>4</v>
      </c>
      <c r="N94" s="35">
        <v>4.5</v>
      </c>
      <c r="O94" s="35">
        <v>5</v>
      </c>
      <c r="P94" s="35">
        <v>5.5</v>
      </c>
      <c r="Q94" s="35">
        <v>6</v>
      </c>
      <c r="R94" s="35">
        <v>6.5</v>
      </c>
      <c r="S94" s="34">
        <v>7</v>
      </c>
    </row>
    <row r="95" spans="2:19" ht="12.75" hidden="1">
      <c r="B95" s="18">
        <v>16</v>
      </c>
      <c r="C95" s="37">
        <v>0.0011599999999999167</v>
      </c>
      <c r="D95" s="19"/>
      <c r="F95" s="18" t="s">
        <v>60</v>
      </c>
      <c r="G95" s="7"/>
      <c r="H95" s="7">
        <v>1</v>
      </c>
      <c r="I95" s="7">
        <v>2</v>
      </c>
      <c r="J95" s="7">
        <v>3</v>
      </c>
      <c r="K95" s="7">
        <v>4</v>
      </c>
      <c r="L95" s="7">
        <v>5</v>
      </c>
      <c r="M95" s="7">
        <v>6</v>
      </c>
      <c r="N95" s="7">
        <v>7</v>
      </c>
      <c r="O95" s="7">
        <v>8</v>
      </c>
      <c r="P95" s="7">
        <v>9</v>
      </c>
      <c r="Q95" s="7">
        <v>10</v>
      </c>
      <c r="R95" s="7" t="s">
        <v>61</v>
      </c>
      <c r="S95" s="19" t="s">
        <v>61</v>
      </c>
    </row>
    <row r="96" spans="2:19" ht="12.75" hidden="1">
      <c r="B96" s="18">
        <v>17</v>
      </c>
      <c r="C96" s="37">
        <v>0.0013199999999999434</v>
      </c>
      <c r="D96" s="19"/>
      <c r="F96" s="18"/>
      <c r="G96" s="7" t="s">
        <v>62</v>
      </c>
      <c r="H96" s="7">
        <v>300</v>
      </c>
      <c r="I96" s="7">
        <v>380</v>
      </c>
      <c r="J96" s="7">
        <v>420</v>
      </c>
      <c r="K96" s="7">
        <v>500</v>
      </c>
      <c r="L96" s="7">
        <v>550</v>
      </c>
      <c r="M96" s="7">
        <v>600</v>
      </c>
      <c r="N96" s="7">
        <v>660</v>
      </c>
      <c r="O96" s="7">
        <v>700</v>
      </c>
      <c r="P96" s="7"/>
      <c r="Q96" s="7"/>
      <c r="R96" s="7"/>
      <c r="S96" s="19"/>
    </row>
    <row r="97" spans="2:19" ht="12.75" hidden="1">
      <c r="B97" s="18">
        <v>18</v>
      </c>
      <c r="C97" s="37">
        <v>0.0014799999999999703</v>
      </c>
      <c r="D97" s="19"/>
      <c r="F97" s="18"/>
      <c r="G97" s="7" t="s">
        <v>63</v>
      </c>
      <c r="H97" s="7">
        <v>420</v>
      </c>
      <c r="I97" s="7">
        <v>500</v>
      </c>
      <c r="J97" s="7">
        <v>590</v>
      </c>
      <c r="K97" s="7">
        <v>660</v>
      </c>
      <c r="L97" s="7">
        <v>720</v>
      </c>
      <c r="M97" s="7">
        <v>800</v>
      </c>
      <c r="N97" s="7">
        <v>870</v>
      </c>
      <c r="O97" s="7">
        <v>920</v>
      </c>
      <c r="P97" s="7"/>
      <c r="Q97" s="7"/>
      <c r="R97" s="7"/>
      <c r="S97" s="19"/>
    </row>
    <row r="98" spans="2:19" ht="12.75" hidden="1">
      <c r="B98" s="18">
        <v>19</v>
      </c>
      <c r="C98" s="37">
        <v>0.001639999999999997</v>
      </c>
      <c r="D98" s="19"/>
      <c r="F98" s="18"/>
      <c r="G98" s="7" t="s">
        <v>64</v>
      </c>
      <c r="H98" s="7">
        <v>600</v>
      </c>
      <c r="I98" s="7">
        <v>700</v>
      </c>
      <c r="J98" s="7">
        <v>810</v>
      </c>
      <c r="K98" s="7">
        <v>920</v>
      </c>
      <c r="L98" s="7">
        <v>1020</v>
      </c>
      <c r="M98" s="7">
        <v>1120</v>
      </c>
      <c r="N98" s="7">
        <v>1230</v>
      </c>
      <c r="O98" s="7">
        <v>1310</v>
      </c>
      <c r="P98" s="7"/>
      <c r="Q98" s="7"/>
      <c r="R98" s="7"/>
      <c r="S98" s="19"/>
    </row>
    <row r="99" spans="2:19" ht="12.75" hidden="1">
      <c r="B99" s="18">
        <v>20</v>
      </c>
      <c r="C99" s="7">
        <v>0.0018000000000000238</v>
      </c>
      <c r="D99" s="19"/>
      <c r="F99" s="18"/>
      <c r="G99" s="7" t="s">
        <v>65</v>
      </c>
      <c r="H99" s="7">
        <v>790</v>
      </c>
      <c r="I99" s="7">
        <v>920</v>
      </c>
      <c r="J99" s="7">
        <v>1090</v>
      </c>
      <c r="K99" s="7">
        <v>1250</v>
      </c>
      <c r="L99" s="7">
        <v>1380</v>
      </c>
      <c r="M99" s="7">
        <v>1500</v>
      </c>
      <c r="N99" s="7">
        <v>1640</v>
      </c>
      <c r="O99" s="7">
        <v>1750</v>
      </c>
      <c r="P99" s="7"/>
      <c r="Q99" s="7"/>
      <c r="R99" s="7"/>
      <c r="S99" s="19"/>
    </row>
    <row r="100" spans="2:19" ht="12.75" hidden="1">
      <c r="B100" s="18">
        <v>21</v>
      </c>
      <c r="C100" s="37">
        <v>0.0020399999999999975</v>
      </c>
      <c r="D100" s="19"/>
      <c r="F100" s="18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19"/>
    </row>
    <row r="101" spans="2:19" ht="12.75" hidden="1">
      <c r="B101" s="18">
        <v>22</v>
      </c>
      <c r="C101" s="37">
        <v>0.002279999999999971</v>
      </c>
      <c r="D101" s="19"/>
      <c r="F101" s="18"/>
      <c r="G101" s="7">
        <f>E34</f>
        <v>2</v>
      </c>
      <c r="H101" s="7">
        <f>HLOOKUP(G101,H94:S95,2)</f>
        <v>2</v>
      </c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19"/>
    </row>
    <row r="102" spans="2:19" ht="12.75" hidden="1">
      <c r="B102" s="18">
        <v>23</v>
      </c>
      <c r="C102" s="37">
        <v>0.0025199999999999446</v>
      </c>
      <c r="D102" s="19"/>
      <c r="F102" s="18"/>
      <c r="G102" s="7">
        <f>SUM(F5:F7)/2</f>
        <v>0</v>
      </c>
      <c r="H102" s="7">
        <f>VLOOKUP(G102,G103:Q129,H101+1)</f>
        <v>20</v>
      </c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19"/>
    </row>
    <row r="103" spans="2:19" ht="12.75" hidden="1">
      <c r="B103" s="18">
        <v>24</v>
      </c>
      <c r="C103" s="37">
        <v>0.002759999999999918</v>
      </c>
      <c r="D103" s="19"/>
      <c r="F103" s="18"/>
      <c r="G103" s="7">
        <v>0</v>
      </c>
      <c r="H103" s="7">
        <v>20</v>
      </c>
      <c r="I103" s="7">
        <v>20</v>
      </c>
      <c r="J103" s="7">
        <v>20</v>
      </c>
      <c r="K103" s="7">
        <v>20</v>
      </c>
      <c r="L103" s="7">
        <v>20</v>
      </c>
      <c r="M103" s="7">
        <v>20</v>
      </c>
      <c r="N103" s="7">
        <v>20</v>
      </c>
      <c r="O103" s="7">
        <v>20</v>
      </c>
      <c r="P103" s="82">
        <v>20</v>
      </c>
      <c r="Q103" s="82">
        <v>20</v>
      </c>
      <c r="R103" s="7"/>
      <c r="S103" s="19"/>
    </row>
    <row r="104" spans="2:19" ht="12.75" hidden="1">
      <c r="B104" s="18">
        <v>25</v>
      </c>
      <c r="C104" s="37">
        <v>0.0029999999999998916</v>
      </c>
      <c r="D104" s="19"/>
      <c r="F104" s="18"/>
      <c r="G104" s="7">
        <v>30</v>
      </c>
      <c r="H104" s="7">
        <v>25</v>
      </c>
      <c r="I104" s="7">
        <v>25</v>
      </c>
      <c r="J104" s="7">
        <v>25</v>
      </c>
      <c r="K104" s="7">
        <v>25</v>
      </c>
      <c r="L104" s="7">
        <v>25</v>
      </c>
      <c r="M104" s="7">
        <v>25</v>
      </c>
      <c r="N104" s="7">
        <v>25</v>
      </c>
      <c r="O104" s="7">
        <v>25</v>
      </c>
      <c r="P104" s="7">
        <v>25</v>
      </c>
      <c r="Q104" s="7">
        <v>25</v>
      </c>
      <c r="R104" s="7"/>
      <c r="S104" s="19"/>
    </row>
    <row r="105" spans="2:19" ht="12.75" hidden="1">
      <c r="B105" s="18">
        <v>26</v>
      </c>
      <c r="C105" s="37">
        <v>0.0032799999999999054</v>
      </c>
      <c r="D105" s="19"/>
      <c r="F105" s="18"/>
      <c r="G105" s="7">
        <v>200</v>
      </c>
      <c r="H105" s="7">
        <v>32</v>
      </c>
      <c r="I105" s="7">
        <v>25</v>
      </c>
      <c r="J105" s="7">
        <v>25</v>
      </c>
      <c r="K105" s="7">
        <v>25</v>
      </c>
      <c r="L105" s="7">
        <v>25</v>
      </c>
      <c r="M105" s="7">
        <v>25</v>
      </c>
      <c r="N105" s="7">
        <v>25</v>
      </c>
      <c r="O105" s="7">
        <v>25</v>
      </c>
      <c r="P105" s="7">
        <v>25</v>
      </c>
      <c r="Q105" s="7">
        <v>25</v>
      </c>
      <c r="R105" s="7"/>
      <c r="S105" s="19"/>
    </row>
    <row r="106" spans="2:19" ht="12.75" hidden="1">
      <c r="B106" s="18">
        <v>27</v>
      </c>
      <c r="C106" s="37">
        <v>0.0035599999999999187</v>
      </c>
      <c r="D106" s="19"/>
      <c r="F106" s="18"/>
      <c r="G106" s="7">
        <v>250</v>
      </c>
      <c r="H106" s="7">
        <v>32</v>
      </c>
      <c r="I106" s="7">
        <v>25</v>
      </c>
      <c r="J106" s="7">
        <v>25</v>
      </c>
      <c r="K106" s="7">
        <v>25</v>
      </c>
      <c r="L106" s="7">
        <v>25</v>
      </c>
      <c r="M106" s="7">
        <v>25</v>
      </c>
      <c r="N106" s="7">
        <v>25</v>
      </c>
      <c r="O106" s="7">
        <v>25</v>
      </c>
      <c r="P106" s="7">
        <v>25</v>
      </c>
      <c r="Q106" s="7">
        <v>25</v>
      </c>
      <c r="R106" s="7"/>
      <c r="S106" s="19"/>
    </row>
    <row r="107" spans="2:19" ht="12.75" hidden="1">
      <c r="B107" s="18">
        <v>28</v>
      </c>
      <c r="C107" s="37">
        <v>0.0038399999999999324</v>
      </c>
      <c r="D107" s="19"/>
      <c r="F107" s="18"/>
      <c r="G107" s="7">
        <v>300</v>
      </c>
      <c r="H107" s="7">
        <v>40</v>
      </c>
      <c r="I107" s="7">
        <v>32</v>
      </c>
      <c r="J107" s="7">
        <v>25</v>
      </c>
      <c r="K107" s="7">
        <v>25</v>
      </c>
      <c r="L107" s="7">
        <v>25</v>
      </c>
      <c r="M107" s="7">
        <v>25</v>
      </c>
      <c r="N107" s="7">
        <v>25</v>
      </c>
      <c r="O107" s="7">
        <v>25</v>
      </c>
      <c r="P107" s="7">
        <v>25</v>
      </c>
      <c r="Q107" s="7">
        <v>25</v>
      </c>
      <c r="R107" s="7"/>
      <c r="S107" s="19"/>
    </row>
    <row r="108" spans="2:19" ht="12.75" hidden="1">
      <c r="B108" s="18">
        <v>29</v>
      </c>
      <c r="C108" s="37">
        <v>0.004119999999999946</v>
      </c>
      <c r="D108" s="19"/>
      <c r="F108" s="18"/>
      <c r="G108" s="7">
        <v>350</v>
      </c>
      <c r="H108" s="7">
        <v>40</v>
      </c>
      <c r="I108" s="7">
        <v>32</v>
      </c>
      <c r="J108" s="7">
        <v>32</v>
      </c>
      <c r="K108" s="7">
        <v>25</v>
      </c>
      <c r="L108" s="7">
        <v>25</v>
      </c>
      <c r="M108" s="7">
        <v>25</v>
      </c>
      <c r="N108" s="7">
        <v>25</v>
      </c>
      <c r="O108" s="7">
        <v>25</v>
      </c>
      <c r="P108" s="7">
        <v>25</v>
      </c>
      <c r="Q108" s="7">
        <v>25</v>
      </c>
      <c r="R108" s="7"/>
      <c r="S108" s="19"/>
    </row>
    <row r="109" spans="2:19" ht="12.75" hidden="1">
      <c r="B109" s="18">
        <v>30</v>
      </c>
      <c r="C109" s="37">
        <v>0.0043999999999999595</v>
      </c>
      <c r="D109" s="19"/>
      <c r="F109" s="18"/>
      <c r="G109" s="7">
        <v>400</v>
      </c>
      <c r="H109" s="7">
        <v>40</v>
      </c>
      <c r="I109" s="7">
        <v>32</v>
      </c>
      <c r="J109" s="7">
        <v>32</v>
      </c>
      <c r="K109" s="7">
        <v>32</v>
      </c>
      <c r="L109" s="7">
        <v>25</v>
      </c>
      <c r="M109" s="7">
        <v>25</v>
      </c>
      <c r="N109" s="7">
        <v>25</v>
      </c>
      <c r="O109" s="7">
        <v>25</v>
      </c>
      <c r="P109" s="7">
        <v>25</v>
      </c>
      <c r="Q109" s="7">
        <v>25</v>
      </c>
      <c r="R109" s="7"/>
      <c r="S109" s="19"/>
    </row>
    <row r="110" spans="2:19" ht="12.75" hidden="1">
      <c r="B110" s="18">
        <v>31</v>
      </c>
      <c r="C110" s="37">
        <v>0.0047399999999999665</v>
      </c>
      <c r="D110" s="19"/>
      <c r="F110" s="18"/>
      <c r="G110" s="7">
        <v>450</v>
      </c>
      <c r="H110" s="7">
        <v>40</v>
      </c>
      <c r="I110" s="7">
        <v>40</v>
      </c>
      <c r="J110" s="7">
        <v>32</v>
      </c>
      <c r="K110" s="7">
        <v>32</v>
      </c>
      <c r="L110" s="7">
        <v>25</v>
      </c>
      <c r="M110" s="7">
        <v>25</v>
      </c>
      <c r="N110" s="7">
        <v>25</v>
      </c>
      <c r="O110" s="7">
        <v>25</v>
      </c>
      <c r="P110" s="7">
        <v>25</v>
      </c>
      <c r="Q110" s="7">
        <v>25</v>
      </c>
      <c r="R110" s="7"/>
      <c r="S110" s="19"/>
    </row>
    <row r="111" spans="2:19" ht="12.75" hidden="1">
      <c r="B111" s="18">
        <v>32</v>
      </c>
      <c r="C111" s="37">
        <v>0.005079999999999973</v>
      </c>
      <c r="D111" s="19"/>
      <c r="F111" s="18"/>
      <c r="G111" s="7">
        <v>500</v>
      </c>
      <c r="H111" s="7">
        <v>40</v>
      </c>
      <c r="I111" s="7">
        <v>40</v>
      </c>
      <c r="J111" s="7">
        <v>40</v>
      </c>
      <c r="K111" s="7">
        <v>32</v>
      </c>
      <c r="L111" s="7">
        <v>32</v>
      </c>
      <c r="M111" s="7">
        <v>25</v>
      </c>
      <c r="N111" s="7">
        <v>25</v>
      </c>
      <c r="O111" s="7">
        <v>25</v>
      </c>
      <c r="P111" s="7">
        <v>25</v>
      </c>
      <c r="Q111" s="7">
        <v>25</v>
      </c>
      <c r="R111" s="7"/>
      <c r="S111" s="19"/>
    </row>
    <row r="112" spans="2:19" ht="12.75" hidden="1">
      <c r="B112" s="18">
        <v>33</v>
      </c>
      <c r="C112" s="37">
        <v>0.00541999999999998</v>
      </c>
      <c r="D112" s="19"/>
      <c r="F112" s="18"/>
      <c r="G112" s="7">
        <v>550</v>
      </c>
      <c r="H112" s="7">
        <v>50</v>
      </c>
      <c r="I112" s="7">
        <v>40</v>
      </c>
      <c r="J112" s="7">
        <v>40</v>
      </c>
      <c r="K112" s="7">
        <v>32</v>
      </c>
      <c r="L112" s="7">
        <v>32</v>
      </c>
      <c r="M112" s="7">
        <v>32</v>
      </c>
      <c r="N112" s="7">
        <v>32</v>
      </c>
      <c r="O112" s="7">
        <v>25</v>
      </c>
      <c r="P112" s="7">
        <v>25</v>
      </c>
      <c r="Q112" s="7">
        <v>25</v>
      </c>
      <c r="R112" s="7"/>
      <c r="S112" s="19"/>
    </row>
    <row r="113" spans="2:19" ht="12.75" hidden="1">
      <c r="B113" s="18">
        <v>34</v>
      </c>
      <c r="C113" s="37">
        <v>0.005759999999999987</v>
      </c>
      <c r="D113" s="19"/>
      <c r="F113" s="18"/>
      <c r="G113" s="7">
        <v>600</v>
      </c>
      <c r="H113" s="7">
        <v>50</v>
      </c>
      <c r="I113" s="7">
        <v>40</v>
      </c>
      <c r="J113" s="7">
        <v>40</v>
      </c>
      <c r="K113" s="7">
        <v>40</v>
      </c>
      <c r="L113" s="7">
        <v>32</v>
      </c>
      <c r="M113" s="7">
        <v>32</v>
      </c>
      <c r="N113" s="7">
        <v>32</v>
      </c>
      <c r="O113" s="7">
        <v>32</v>
      </c>
      <c r="P113" s="7">
        <v>25</v>
      </c>
      <c r="Q113" s="7">
        <v>25</v>
      </c>
      <c r="R113" s="7"/>
      <c r="S113" s="19"/>
    </row>
    <row r="114" spans="2:19" ht="12.75" hidden="1">
      <c r="B114" s="18">
        <v>35</v>
      </c>
      <c r="C114" s="37">
        <v>0.006099999999999994</v>
      </c>
      <c r="D114" s="19"/>
      <c r="F114" s="18"/>
      <c r="G114" s="7">
        <v>650</v>
      </c>
      <c r="H114" s="7">
        <v>50</v>
      </c>
      <c r="I114" s="7">
        <v>40</v>
      </c>
      <c r="J114" s="7">
        <v>40</v>
      </c>
      <c r="K114" s="7">
        <v>40</v>
      </c>
      <c r="L114" s="7">
        <v>40</v>
      </c>
      <c r="M114" s="7">
        <v>32</v>
      </c>
      <c r="N114" s="7">
        <v>32</v>
      </c>
      <c r="O114" s="7">
        <v>32</v>
      </c>
      <c r="P114" s="7">
        <v>25</v>
      </c>
      <c r="Q114" s="7">
        <v>25</v>
      </c>
      <c r="R114" s="7"/>
      <c r="S114" s="19"/>
    </row>
    <row r="115" spans="2:19" ht="12.75" hidden="1">
      <c r="B115" s="18">
        <v>36</v>
      </c>
      <c r="C115" s="37">
        <v>0.006459999999999999</v>
      </c>
      <c r="D115" s="19"/>
      <c r="F115" s="18"/>
      <c r="G115" s="7">
        <v>700</v>
      </c>
      <c r="H115" s="7">
        <v>50</v>
      </c>
      <c r="I115" s="7">
        <v>50</v>
      </c>
      <c r="J115" s="7">
        <v>40</v>
      </c>
      <c r="K115" s="7">
        <v>40</v>
      </c>
      <c r="L115" s="7">
        <v>40</v>
      </c>
      <c r="M115" s="7">
        <v>40</v>
      </c>
      <c r="N115" s="7">
        <v>32</v>
      </c>
      <c r="O115" s="7">
        <v>32</v>
      </c>
      <c r="P115" s="82">
        <v>32</v>
      </c>
      <c r="Q115" s="82">
        <v>32</v>
      </c>
      <c r="R115" s="7"/>
      <c r="S115" s="19"/>
    </row>
    <row r="116" spans="2:19" ht="12.75" hidden="1">
      <c r="B116" s="18">
        <v>37</v>
      </c>
      <c r="C116" s="37">
        <v>0.006820000000000004</v>
      </c>
      <c r="D116" s="19"/>
      <c r="F116" s="18"/>
      <c r="G116" s="7">
        <v>750</v>
      </c>
      <c r="H116" s="7" t="s">
        <v>61</v>
      </c>
      <c r="I116" s="7">
        <v>50</v>
      </c>
      <c r="J116" s="7">
        <v>50</v>
      </c>
      <c r="K116" s="7">
        <v>40</v>
      </c>
      <c r="L116" s="7">
        <v>40</v>
      </c>
      <c r="M116" s="7">
        <v>40</v>
      </c>
      <c r="N116" s="7">
        <v>40</v>
      </c>
      <c r="O116" s="7">
        <v>32</v>
      </c>
      <c r="P116" s="82">
        <v>32</v>
      </c>
      <c r="Q116" s="82">
        <v>32</v>
      </c>
      <c r="R116" s="7"/>
      <c r="S116" s="19"/>
    </row>
    <row r="117" spans="2:19" ht="12.75" hidden="1">
      <c r="B117" s="18">
        <v>38</v>
      </c>
      <c r="C117" s="37">
        <v>0.007180000000000008</v>
      </c>
      <c r="D117" s="19"/>
      <c r="F117" s="18"/>
      <c r="G117" s="7">
        <v>800</v>
      </c>
      <c r="H117" s="7" t="s">
        <v>61</v>
      </c>
      <c r="I117" s="7">
        <v>50</v>
      </c>
      <c r="J117" s="7">
        <v>50</v>
      </c>
      <c r="K117" s="7">
        <v>40</v>
      </c>
      <c r="L117" s="7">
        <v>40</v>
      </c>
      <c r="M117" s="7">
        <v>40</v>
      </c>
      <c r="N117" s="7">
        <v>40</v>
      </c>
      <c r="O117" s="7">
        <v>32</v>
      </c>
      <c r="P117" s="82">
        <v>32</v>
      </c>
      <c r="Q117" s="82">
        <v>32</v>
      </c>
      <c r="R117" s="7"/>
      <c r="S117" s="19"/>
    </row>
    <row r="118" spans="2:19" ht="12.75" hidden="1">
      <c r="B118" s="18">
        <v>39</v>
      </c>
      <c r="C118" s="37">
        <v>0.007540000000000014</v>
      </c>
      <c r="D118" s="19"/>
      <c r="F118" s="18"/>
      <c r="G118" s="7">
        <v>850</v>
      </c>
      <c r="H118" s="7" t="s">
        <v>61</v>
      </c>
      <c r="I118" s="7" t="s">
        <v>61</v>
      </c>
      <c r="J118" s="7">
        <v>50</v>
      </c>
      <c r="K118" s="7">
        <v>50</v>
      </c>
      <c r="L118" s="7">
        <v>40</v>
      </c>
      <c r="M118" s="7">
        <v>40</v>
      </c>
      <c r="N118" s="7">
        <v>40</v>
      </c>
      <c r="O118" s="7">
        <v>40</v>
      </c>
      <c r="P118" s="82">
        <v>32</v>
      </c>
      <c r="Q118" s="82">
        <v>32</v>
      </c>
      <c r="R118" s="7"/>
      <c r="S118" s="19"/>
    </row>
    <row r="119" spans="2:19" ht="12.75" hidden="1">
      <c r="B119" s="18">
        <v>40</v>
      </c>
      <c r="C119" s="7">
        <v>0.007900000000000018</v>
      </c>
      <c r="D119" s="19"/>
      <c r="F119" s="18"/>
      <c r="G119" s="7">
        <v>900</v>
      </c>
      <c r="H119" s="7" t="s">
        <v>61</v>
      </c>
      <c r="I119" s="7" t="s">
        <v>61</v>
      </c>
      <c r="J119" s="7">
        <v>50</v>
      </c>
      <c r="K119" s="7">
        <v>50</v>
      </c>
      <c r="L119" s="7">
        <v>40</v>
      </c>
      <c r="M119" s="7">
        <v>40</v>
      </c>
      <c r="N119" s="7">
        <v>40</v>
      </c>
      <c r="O119" s="7">
        <v>40</v>
      </c>
      <c r="P119" s="82">
        <v>40</v>
      </c>
      <c r="Q119" s="82">
        <v>32</v>
      </c>
      <c r="R119" s="7"/>
      <c r="S119" s="19"/>
    </row>
    <row r="120" spans="2:19" ht="12.75" hidden="1">
      <c r="B120" s="18">
        <v>41</v>
      </c>
      <c r="C120" s="37">
        <v>0.00830000000000002</v>
      </c>
      <c r="D120" s="19"/>
      <c r="F120" s="18"/>
      <c r="G120" s="7">
        <v>950</v>
      </c>
      <c r="H120" s="7" t="s">
        <v>61</v>
      </c>
      <c r="I120" s="7" t="s">
        <v>61</v>
      </c>
      <c r="J120" s="7">
        <v>50</v>
      </c>
      <c r="K120" s="7">
        <v>50</v>
      </c>
      <c r="L120" s="7">
        <v>50</v>
      </c>
      <c r="M120" s="7">
        <v>40</v>
      </c>
      <c r="N120" s="7">
        <v>40</v>
      </c>
      <c r="O120" s="7">
        <v>40</v>
      </c>
      <c r="P120" s="82">
        <v>40</v>
      </c>
      <c r="Q120" s="82">
        <v>40</v>
      </c>
      <c r="R120" s="7"/>
      <c r="S120" s="19"/>
    </row>
    <row r="121" spans="2:19" ht="12.75" hidden="1">
      <c r="B121" s="18">
        <v>42</v>
      </c>
      <c r="C121" s="37">
        <v>0.008700000000000018</v>
      </c>
      <c r="D121" s="19"/>
      <c r="F121" s="18"/>
      <c r="G121" s="7">
        <v>1000</v>
      </c>
      <c r="H121" s="7" t="s">
        <v>61</v>
      </c>
      <c r="I121" s="7" t="s">
        <v>61</v>
      </c>
      <c r="J121" s="7" t="s">
        <v>61</v>
      </c>
      <c r="K121" s="7">
        <v>50</v>
      </c>
      <c r="L121" s="7">
        <v>50</v>
      </c>
      <c r="M121" s="7">
        <v>50</v>
      </c>
      <c r="N121" s="7">
        <v>40</v>
      </c>
      <c r="O121" s="7">
        <v>40</v>
      </c>
      <c r="P121" s="82">
        <v>40</v>
      </c>
      <c r="Q121" s="82">
        <v>40</v>
      </c>
      <c r="R121" s="7"/>
      <c r="S121" s="19"/>
    </row>
    <row r="122" spans="2:19" ht="12.75" hidden="1">
      <c r="B122" s="18">
        <v>43</v>
      </c>
      <c r="C122" s="37">
        <v>0.00910000000000002</v>
      </c>
      <c r="D122" s="19"/>
      <c r="F122" s="18"/>
      <c r="G122" s="7">
        <v>1100</v>
      </c>
      <c r="H122" s="7" t="s">
        <v>61</v>
      </c>
      <c r="I122" s="7" t="s">
        <v>61</v>
      </c>
      <c r="J122" s="7" t="s">
        <v>61</v>
      </c>
      <c r="K122" s="7">
        <v>50</v>
      </c>
      <c r="L122" s="7">
        <v>50</v>
      </c>
      <c r="M122" s="7">
        <v>50</v>
      </c>
      <c r="N122" s="7">
        <v>50</v>
      </c>
      <c r="O122" s="7">
        <v>40</v>
      </c>
      <c r="P122" s="82">
        <v>40</v>
      </c>
      <c r="Q122" s="82">
        <v>40</v>
      </c>
      <c r="R122" s="7"/>
      <c r="S122" s="19"/>
    </row>
    <row r="123" spans="2:19" ht="12.75" hidden="1">
      <c r="B123" s="18">
        <v>44</v>
      </c>
      <c r="C123" s="37">
        <v>0.009500000000000019</v>
      </c>
      <c r="D123" s="19"/>
      <c r="F123" s="18"/>
      <c r="G123" s="7">
        <v>1200</v>
      </c>
      <c r="H123" s="7" t="s">
        <v>61</v>
      </c>
      <c r="I123" s="7" t="s">
        <v>61</v>
      </c>
      <c r="J123" s="7" t="s">
        <v>61</v>
      </c>
      <c r="K123" s="7" t="s">
        <v>61</v>
      </c>
      <c r="L123" s="7">
        <v>50</v>
      </c>
      <c r="M123" s="7">
        <v>50</v>
      </c>
      <c r="N123" s="7">
        <v>50</v>
      </c>
      <c r="O123" s="7">
        <v>50</v>
      </c>
      <c r="P123" s="82">
        <v>40</v>
      </c>
      <c r="Q123" s="82">
        <v>40</v>
      </c>
      <c r="R123" s="7"/>
      <c r="S123" s="19"/>
    </row>
    <row r="124" spans="2:19" ht="12.75" hidden="1">
      <c r="B124" s="18">
        <v>45</v>
      </c>
      <c r="C124" s="7">
        <v>0.00990000000000002</v>
      </c>
      <c r="D124" s="19"/>
      <c r="F124" s="18"/>
      <c r="G124" s="7">
        <v>1300</v>
      </c>
      <c r="H124" s="7" t="s">
        <v>61</v>
      </c>
      <c r="I124" s="7" t="s">
        <v>61</v>
      </c>
      <c r="J124" s="7" t="s">
        <v>61</v>
      </c>
      <c r="K124" s="7" t="s">
        <v>61</v>
      </c>
      <c r="L124" s="7" t="s">
        <v>61</v>
      </c>
      <c r="M124" s="7">
        <v>50</v>
      </c>
      <c r="N124" s="7">
        <v>50</v>
      </c>
      <c r="O124" s="7">
        <v>50</v>
      </c>
      <c r="P124" s="82">
        <v>50</v>
      </c>
      <c r="Q124" s="82">
        <v>40</v>
      </c>
      <c r="R124" s="7"/>
      <c r="S124" s="19"/>
    </row>
    <row r="125" spans="2:19" ht="12.75" hidden="1">
      <c r="B125" s="18">
        <v>46</v>
      </c>
      <c r="C125" s="37">
        <v>0.010340000000000016</v>
      </c>
      <c r="D125" s="19"/>
      <c r="F125" s="18"/>
      <c r="G125" s="7">
        <v>1400</v>
      </c>
      <c r="H125" s="7" t="s">
        <v>61</v>
      </c>
      <c r="I125" s="7" t="s">
        <v>61</v>
      </c>
      <c r="J125" s="7" t="s">
        <v>61</v>
      </c>
      <c r="K125" s="7" t="s">
        <v>61</v>
      </c>
      <c r="L125" s="7" t="s">
        <v>61</v>
      </c>
      <c r="M125" s="7" t="s">
        <v>61</v>
      </c>
      <c r="N125" s="7">
        <v>50</v>
      </c>
      <c r="O125" s="7">
        <v>50</v>
      </c>
      <c r="P125" s="7">
        <v>50</v>
      </c>
      <c r="Q125" s="82">
        <v>50</v>
      </c>
      <c r="R125" s="7"/>
      <c r="S125" s="19"/>
    </row>
    <row r="126" spans="2:19" ht="12.75" hidden="1">
      <c r="B126" s="18">
        <v>47</v>
      </c>
      <c r="C126" s="37">
        <v>0.010780000000000012</v>
      </c>
      <c r="D126" s="19"/>
      <c r="F126" s="18"/>
      <c r="G126" s="7">
        <v>1500</v>
      </c>
      <c r="H126" s="7" t="s">
        <v>61</v>
      </c>
      <c r="I126" s="7" t="s">
        <v>61</v>
      </c>
      <c r="J126" s="7" t="s">
        <v>61</v>
      </c>
      <c r="K126" s="7" t="s">
        <v>61</v>
      </c>
      <c r="L126" s="7" t="s">
        <v>61</v>
      </c>
      <c r="M126" s="7" t="s">
        <v>61</v>
      </c>
      <c r="N126" s="7" t="s">
        <v>61</v>
      </c>
      <c r="O126" s="7">
        <v>50</v>
      </c>
      <c r="P126" s="7">
        <v>50</v>
      </c>
      <c r="Q126" s="7">
        <v>50</v>
      </c>
      <c r="R126" s="7"/>
      <c r="S126" s="19"/>
    </row>
    <row r="127" spans="2:19" ht="12.75" hidden="1">
      <c r="B127" s="18">
        <v>48</v>
      </c>
      <c r="C127" s="37">
        <v>0.011220000000000008</v>
      </c>
      <c r="D127" s="19"/>
      <c r="F127" s="18"/>
      <c r="G127" s="7">
        <v>1600</v>
      </c>
      <c r="H127" s="7" t="s">
        <v>61</v>
      </c>
      <c r="I127" s="7" t="s">
        <v>61</v>
      </c>
      <c r="J127" s="7" t="s">
        <v>61</v>
      </c>
      <c r="K127" s="7" t="s">
        <v>61</v>
      </c>
      <c r="L127" s="7" t="s">
        <v>61</v>
      </c>
      <c r="M127" s="7" t="s">
        <v>61</v>
      </c>
      <c r="N127" s="7" t="s">
        <v>61</v>
      </c>
      <c r="O127" s="7" t="s">
        <v>61</v>
      </c>
      <c r="P127" s="7">
        <v>50</v>
      </c>
      <c r="Q127" s="7">
        <v>50</v>
      </c>
      <c r="R127" s="7"/>
      <c r="S127" s="19"/>
    </row>
    <row r="128" spans="2:19" ht="12.75" hidden="1">
      <c r="B128" s="18">
        <v>49</v>
      </c>
      <c r="C128" s="37">
        <v>0.011660000000000004</v>
      </c>
      <c r="D128" s="19"/>
      <c r="F128" s="18"/>
      <c r="G128" s="7">
        <v>1700</v>
      </c>
      <c r="H128" s="7" t="s">
        <v>61</v>
      </c>
      <c r="I128" s="7" t="s">
        <v>61</v>
      </c>
      <c r="J128" s="7" t="s">
        <v>61</v>
      </c>
      <c r="K128" s="7" t="s">
        <v>61</v>
      </c>
      <c r="L128" s="7" t="s">
        <v>61</v>
      </c>
      <c r="M128" s="7" t="s">
        <v>61</v>
      </c>
      <c r="N128" s="7" t="s">
        <v>61</v>
      </c>
      <c r="O128" s="7" t="s">
        <v>61</v>
      </c>
      <c r="P128" s="7">
        <v>50</v>
      </c>
      <c r="Q128" s="7">
        <v>50</v>
      </c>
      <c r="R128" s="7"/>
      <c r="S128" s="19"/>
    </row>
    <row r="129" spans="2:19" ht="12.75" hidden="1">
      <c r="B129" s="18">
        <v>50</v>
      </c>
      <c r="C129" s="7">
        <v>0.0121</v>
      </c>
      <c r="D129" s="19"/>
      <c r="F129" s="28"/>
      <c r="G129" s="84">
        <v>1800</v>
      </c>
      <c r="H129" s="25" t="s">
        <v>61</v>
      </c>
      <c r="I129" s="25" t="s">
        <v>61</v>
      </c>
      <c r="J129" s="25" t="s">
        <v>61</v>
      </c>
      <c r="K129" s="25" t="s">
        <v>61</v>
      </c>
      <c r="L129" s="25" t="s">
        <v>61</v>
      </c>
      <c r="M129" s="25" t="s">
        <v>61</v>
      </c>
      <c r="N129" s="25" t="s">
        <v>61</v>
      </c>
      <c r="O129" s="25" t="s">
        <v>61</v>
      </c>
      <c r="P129" s="25" t="s">
        <v>61</v>
      </c>
      <c r="Q129" s="25">
        <v>50</v>
      </c>
      <c r="R129" s="25"/>
      <c r="S129" s="24"/>
    </row>
    <row r="130" spans="2:7" ht="12.75" hidden="1">
      <c r="B130" s="18">
        <v>51</v>
      </c>
      <c r="C130" s="37">
        <v>0.01257999999999999</v>
      </c>
      <c r="D130" s="19"/>
      <c r="G130" s="82"/>
    </row>
    <row r="131" spans="2:7" ht="12.75" hidden="1">
      <c r="B131" s="18">
        <v>52</v>
      </c>
      <c r="C131" s="37">
        <v>0.013059999999999983</v>
      </c>
      <c r="D131" s="19"/>
      <c r="G131" s="82"/>
    </row>
    <row r="132" spans="2:7" ht="12.75" hidden="1">
      <c r="B132" s="18">
        <v>53</v>
      </c>
      <c r="C132" s="37">
        <v>0.013539999999999974</v>
      </c>
      <c r="D132" s="19"/>
      <c r="G132" s="82"/>
    </row>
    <row r="133" spans="2:7" ht="12.75" hidden="1">
      <c r="B133" s="18">
        <v>54</v>
      </c>
      <c r="C133" s="37">
        <v>0.014019999999999967</v>
      </c>
      <c r="D133" s="19"/>
      <c r="G133" s="82"/>
    </row>
    <row r="134" spans="2:8" ht="12.75" hidden="1">
      <c r="B134" s="18">
        <v>55</v>
      </c>
      <c r="C134" s="7">
        <v>0.014499999999999957</v>
      </c>
      <c r="D134" s="19"/>
      <c r="F134" s="33" t="s">
        <v>8</v>
      </c>
      <c r="G134" s="35"/>
      <c r="H134" s="34"/>
    </row>
    <row r="135" spans="2:8" ht="12.75" hidden="1">
      <c r="B135" s="18">
        <v>56</v>
      </c>
      <c r="C135" s="37">
        <v>0.015019999999999945</v>
      </c>
      <c r="D135" s="19"/>
      <c r="F135" s="18" t="s">
        <v>66</v>
      </c>
      <c r="G135" s="7"/>
      <c r="H135" s="19" t="str">
        <f>IF(D59&lt;80,"Armatursats typ V","Armatursats typ 3")</f>
        <v>Armatursats typ V</v>
      </c>
    </row>
    <row r="136" spans="2:8" ht="12.75" hidden="1">
      <c r="B136" s="18">
        <v>57</v>
      </c>
      <c r="C136" s="37">
        <v>0.015539999999999932</v>
      </c>
      <c r="D136" s="19"/>
      <c r="F136" s="18" t="s">
        <v>67</v>
      </c>
      <c r="G136" s="7"/>
      <c r="H136" s="19"/>
    </row>
    <row r="137" spans="2:8" ht="12.75" hidden="1">
      <c r="B137" s="18">
        <v>58</v>
      </c>
      <c r="C137" s="37">
        <v>0.016059999999999918</v>
      </c>
      <c r="D137" s="19"/>
      <c r="F137" s="28" t="s">
        <v>68</v>
      </c>
      <c r="G137" s="25"/>
      <c r="H137" s="24" t="str">
        <f>IF(H135="Armatursats typ V","Samlingsrör ansl 20","Samlingsrör ansl 25")</f>
        <v>Samlingsrör ansl 20</v>
      </c>
    </row>
    <row r="138" spans="2:8" ht="12.75" hidden="1">
      <c r="B138" s="18">
        <v>59</v>
      </c>
      <c r="C138" s="37">
        <v>0.016579999999999907</v>
      </c>
      <c r="D138" s="19"/>
      <c r="F138" s="7"/>
      <c r="G138" s="7"/>
      <c r="H138" s="7"/>
    </row>
    <row r="139" spans="2:8" ht="12.75" hidden="1">
      <c r="B139" s="18">
        <v>60</v>
      </c>
      <c r="C139" s="7">
        <v>0.017099999999999893</v>
      </c>
      <c r="D139" s="19"/>
      <c r="F139" s="33" t="s">
        <v>69</v>
      </c>
      <c r="G139" s="35"/>
      <c r="H139" s="34"/>
    </row>
    <row r="140" spans="2:8" ht="12.75" hidden="1">
      <c r="B140" s="18">
        <v>61</v>
      </c>
      <c r="C140" s="37">
        <v>0.01765999999999992</v>
      </c>
      <c r="D140" s="19"/>
      <c r="F140" s="18" t="s">
        <v>66</v>
      </c>
      <c r="G140" s="7"/>
      <c r="H140" s="19" t="str">
        <f>IF(D59&gt;50,"Armatursats typ 3","Armatursats typ V")</f>
        <v>Armatursats typ V</v>
      </c>
    </row>
    <row r="141" spans="2:8" ht="12.75" hidden="1">
      <c r="B141" s="18">
        <v>62</v>
      </c>
      <c r="C141" s="37">
        <v>0.018219999999999948</v>
      </c>
      <c r="D141" s="19"/>
      <c r="F141" s="18" t="s">
        <v>67</v>
      </c>
      <c r="G141" s="7"/>
      <c r="H141" s="19"/>
    </row>
    <row r="142" spans="2:8" ht="12.75" hidden="1">
      <c r="B142" s="18">
        <v>63</v>
      </c>
      <c r="C142" s="37">
        <v>0.018779999999999974</v>
      </c>
      <c r="D142" s="19"/>
      <c r="F142" s="28" t="s">
        <v>70</v>
      </c>
      <c r="G142" s="25"/>
      <c r="H142" s="24" t="str">
        <f>IF(H140="Armatursats typ V","Samlingsrör ansl 20","Samlingsrör ansl 25")</f>
        <v>Samlingsrör ansl 20</v>
      </c>
    </row>
    <row r="143" spans="2:4" ht="12.75" hidden="1">
      <c r="B143" s="18">
        <v>64</v>
      </c>
      <c r="C143" s="37">
        <v>0.019340000000000003</v>
      </c>
      <c r="D143" s="19"/>
    </row>
    <row r="144" spans="2:9" ht="12.75" hidden="1">
      <c r="B144" s="18">
        <v>65</v>
      </c>
      <c r="C144" s="7">
        <v>0.01990000000000003</v>
      </c>
      <c r="D144" s="19"/>
      <c r="I144" t="str">
        <f>IF(D59&gt;200,"","Armatursats typ 3")</f>
        <v>Armatursats typ 3</v>
      </c>
    </row>
    <row r="145" spans="2:8" ht="12.75" hidden="1">
      <c r="B145" s="18">
        <v>66</v>
      </c>
      <c r="C145" s="37">
        <v>0.02048000000000001</v>
      </c>
      <c r="D145" s="19"/>
      <c r="F145" s="33">
        <f>D59</f>
        <v>4</v>
      </c>
      <c r="G145" s="35"/>
      <c r="H145" s="34"/>
    </row>
    <row r="146" spans="2:8" ht="12.75" hidden="1">
      <c r="B146" s="18">
        <v>67</v>
      </c>
      <c r="C146" s="37">
        <v>0.02105999999999999</v>
      </c>
      <c r="D146" s="19"/>
      <c r="F146" s="18">
        <f>VLOOKUP(F145,G146:H167,2)</f>
        <v>5535208</v>
      </c>
      <c r="G146" s="7">
        <v>4</v>
      </c>
      <c r="H146" s="19">
        <v>5535208</v>
      </c>
    </row>
    <row r="147" spans="2:8" ht="12.75" hidden="1">
      <c r="B147" s="18">
        <v>68</v>
      </c>
      <c r="C147" s="37">
        <v>0.021639999999999972</v>
      </c>
      <c r="D147" s="19"/>
      <c r="F147" s="18"/>
      <c r="G147" s="7">
        <v>8</v>
      </c>
      <c r="H147" s="19">
        <v>5535216</v>
      </c>
    </row>
    <row r="148" spans="2:8" ht="12.75" hidden="1">
      <c r="B148" s="18">
        <v>69</v>
      </c>
      <c r="C148" s="37">
        <v>0.02221999999999995</v>
      </c>
      <c r="D148" s="19"/>
      <c r="F148" s="18"/>
      <c r="G148" s="7">
        <v>12</v>
      </c>
      <c r="H148" s="19">
        <v>5535224</v>
      </c>
    </row>
    <row r="149" spans="2:8" ht="12.75" hidden="1">
      <c r="B149" s="18">
        <v>70</v>
      </c>
      <c r="C149" s="7">
        <v>0.02279999999999993</v>
      </c>
      <c r="D149" s="19"/>
      <c r="F149" s="18"/>
      <c r="G149" s="7">
        <v>18</v>
      </c>
      <c r="H149" s="19">
        <v>5535232</v>
      </c>
    </row>
    <row r="150" spans="2:8" ht="12.75" hidden="1">
      <c r="B150" s="18">
        <v>71</v>
      </c>
      <c r="C150" s="37">
        <v>0.023399999999999956</v>
      </c>
      <c r="D150" s="19"/>
      <c r="F150" s="18"/>
      <c r="G150" s="7">
        <v>25</v>
      </c>
      <c r="H150" s="19">
        <v>5535240</v>
      </c>
    </row>
    <row r="151" spans="2:8" ht="12.75" hidden="1">
      <c r="B151" s="18">
        <v>72</v>
      </c>
      <c r="C151" s="37">
        <v>0.023999999999999976</v>
      </c>
      <c r="D151" s="19"/>
      <c r="F151" s="18"/>
      <c r="G151" s="7">
        <v>35</v>
      </c>
      <c r="H151" s="19">
        <v>5535257</v>
      </c>
    </row>
    <row r="152" spans="2:8" ht="12.75" hidden="1">
      <c r="B152" s="18">
        <v>73</v>
      </c>
      <c r="C152" s="37">
        <v>0.0246</v>
      </c>
      <c r="D152" s="19"/>
      <c r="F152" s="18"/>
      <c r="G152" s="7">
        <v>50</v>
      </c>
      <c r="H152" s="19">
        <v>5535265</v>
      </c>
    </row>
    <row r="153" spans="2:8" ht="12.75" hidden="1">
      <c r="B153" s="18">
        <v>74</v>
      </c>
      <c r="C153" s="37">
        <v>0.02520000000000002</v>
      </c>
      <c r="D153" s="19"/>
      <c r="F153" s="18"/>
      <c r="G153" s="7">
        <v>80</v>
      </c>
      <c r="H153" s="19">
        <v>5535273</v>
      </c>
    </row>
    <row r="154" spans="2:8" ht="12.75" hidden="1">
      <c r="B154" s="18">
        <v>75</v>
      </c>
      <c r="C154" s="7">
        <v>0.025800000000000045</v>
      </c>
      <c r="D154" s="19"/>
      <c r="F154" s="18"/>
      <c r="G154" s="82">
        <v>105</v>
      </c>
      <c r="H154" s="83">
        <v>5535241</v>
      </c>
    </row>
    <row r="155" spans="2:8" ht="12.75" hidden="1">
      <c r="B155" s="18">
        <v>76</v>
      </c>
      <c r="C155" s="37">
        <v>0.02644000000000002</v>
      </c>
      <c r="D155" s="19"/>
      <c r="F155" s="18"/>
      <c r="G155" s="7">
        <v>150</v>
      </c>
      <c r="H155" s="19">
        <v>5535274</v>
      </c>
    </row>
    <row r="156" spans="2:8" ht="12.75" hidden="1">
      <c r="B156" s="18">
        <v>77</v>
      </c>
      <c r="C156" s="37">
        <v>0.027079999999999993</v>
      </c>
      <c r="D156" s="19"/>
      <c r="F156" s="18"/>
      <c r="G156" s="7">
        <v>200</v>
      </c>
      <c r="H156" s="19">
        <v>5535275</v>
      </c>
    </row>
    <row r="157" spans="2:8" ht="12.75" hidden="1">
      <c r="B157" s="18">
        <v>78</v>
      </c>
      <c r="C157" s="37">
        <v>0.027719999999999967</v>
      </c>
      <c r="D157" s="19"/>
      <c r="F157" s="18"/>
      <c r="G157" s="82">
        <v>250</v>
      </c>
      <c r="H157" s="91">
        <v>5535242</v>
      </c>
    </row>
    <row r="158" spans="2:8" ht="12.75" hidden="1">
      <c r="B158" s="18">
        <v>79</v>
      </c>
      <c r="C158" s="37">
        <v>0.02835999999999994</v>
      </c>
      <c r="D158" s="19"/>
      <c r="F158" s="18"/>
      <c r="G158" s="7">
        <v>300</v>
      </c>
      <c r="H158" s="19">
        <f>IF(E34&gt;6,5535276,5535243)</f>
        <v>5535243</v>
      </c>
    </row>
    <row r="159" spans="2:8" ht="12.75" hidden="1">
      <c r="B159" s="18">
        <v>80</v>
      </c>
      <c r="C159" s="37">
        <v>0.028999999999999915</v>
      </c>
      <c r="D159" s="19"/>
      <c r="F159" s="18"/>
      <c r="G159" s="7">
        <v>400</v>
      </c>
      <c r="H159" s="91">
        <v>5535244</v>
      </c>
    </row>
    <row r="160" spans="2:8" ht="12.75" hidden="1">
      <c r="B160" s="18">
        <v>81</v>
      </c>
      <c r="C160" s="37">
        <v>0.02965999999999993</v>
      </c>
      <c r="D160" s="19"/>
      <c r="F160" s="18"/>
      <c r="G160" s="7">
        <v>500</v>
      </c>
      <c r="H160" s="19">
        <f>IF(E34&gt;6,5535277,5535245)</f>
        <v>5535245</v>
      </c>
    </row>
    <row r="161" spans="2:8" ht="12.75" hidden="1">
      <c r="B161" s="18">
        <v>82</v>
      </c>
      <c r="C161" s="37">
        <v>0.030319999999999948</v>
      </c>
      <c r="D161" s="19"/>
      <c r="F161" s="18"/>
      <c r="G161" s="82">
        <v>600</v>
      </c>
      <c r="H161" s="91">
        <v>5535246</v>
      </c>
    </row>
    <row r="162" spans="2:8" ht="12.75" hidden="1">
      <c r="B162" s="18">
        <v>83</v>
      </c>
      <c r="C162" s="37">
        <v>0.030979999999999962</v>
      </c>
      <c r="D162" s="19"/>
      <c r="F162" s="18"/>
      <c r="G162" s="7">
        <v>700</v>
      </c>
      <c r="H162" s="19">
        <f>IF(E34&gt;6,5535278,5535247)</f>
        <v>5535247</v>
      </c>
    </row>
    <row r="163" spans="2:8" ht="12.75" hidden="1">
      <c r="B163" s="18">
        <v>84</v>
      </c>
      <c r="C163" s="37">
        <v>0.03163999999999998</v>
      </c>
      <c r="D163" s="19"/>
      <c r="G163" s="56" t="s">
        <v>57</v>
      </c>
      <c r="H163" s="19">
        <f>IF(E35&gt;6,5535278,5535247)</f>
        <v>5535278</v>
      </c>
    </row>
    <row r="164" spans="2:8" ht="12.75" hidden="1">
      <c r="B164" s="18">
        <v>85</v>
      </c>
      <c r="C164" s="7">
        <v>0.032299999999999995</v>
      </c>
      <c r="D164" s="19"/>
      <c r="F164" s="18"/>
      <c r="G164" s="7">
        <v>800</v>
      </c>
      <c r="H164" s="19">
        <v>5535248</v>
      </c>
    </row>
    <row r="165" spans="2:8" ht="12.75" hidden="1">
      <c r="B165" s="18">
        <v>86</v>
      </c>
      <c r="C165" s="37">
        <v>0.03302000000000001</v>
      </c>
      <c r="D165" s="19"/>
      <c r="F165" s="18"/>
      <c r="G165" s="7">
        <v>900</v>
      </c>
      <c r="H165" s="19">
        <v>5535279</v>
      </c>
    </row>
    <row r="166" spans="2:8" ht="12.75" hidden="1">
      <c r="B166" s="18">
        <v>87</v>
      </c>
      <c r="C166" s="37">
        <v>0.03374000000000001</v>
      </c>
      <c r="D166" s="19"/>
      <c r="G166" t="s">
        <v>58</v>
      </c>
      <c r="H166" s="19">
        <v>5535279</v>
      </c>
    </row>
    <row r="167" spans="2:8" ht="12.75" hidden="1">
      <c r="B167" s="18">
        <v>88</v>
      </c>
      <c r="C167" s="37">
        <v>0.034460000000000025</v>
      </c>
      <c r="D167" s="19"/>
      <c r="F167" s="28"/>
      <c r="G167" s="25">
        <v>1000</v>
      </c>
      <c r="H167" s="24">
        <v>5535249</v>
      </c>
    </row>
    <row r="168" spans="2:4" ht="12.75" hidden="1">
      <c r="B168" s="18">
        <v>89</v>
      </c>
      <c r="C168" s="37">
        <v>0.03518000000000003</v>
      </c>
      <c r="D168" s="19"/>
    </row>
    <row r="169" spans="2:17" ht="12.75" hidden="1">
      <c r="B169" s="18">
        <v>90</v>
      </c>
      <c r="C169" s="7">
        <v>0.03590000000000004</v>
      </c>
      <c r="D169" s="19"/>
      <c r="Q169">
        <f>VLOOKUP(E34,Q170:R176,2)</f>
        <v>5535377</v>
      </c>
    </row>
    <row r="170" spans="2:18" ht="12.75" hidden="1">
      <c r="B170" s="18">
        <v>91</v>
      </c>
      <c r="C170" s="37">
        <v>0.03664000000000005</v>
      </c>
      <c r="D170" s="19"/>
      <c r="F170" s="33">
        <f>IF(H135="Armatursats typ V",Q169,0)</f>
        <v>5535377</v>
      </c>
      <c r="G170" s="35" t="s">
        <v>71</v>
      </c>
      <c r="H170" s="35"/>
      <c r="I170" s="35"/>
      <c r="J170" s="35"/>
      <c r="K170" s="35"/>
      <c r="L170" s="35"/>
      <c r="M170" s="35"/>
      <c r="N170" s="35"/>
      <c r="O170" s="35"/>
      <c r="P170" s="34"/>
      <c r="Q170">
        <v>1.5</v>
      </c>
      <c r="R170">
        <v>5535369</v>
      </c>
    </row>
    <row r="171" spans="2:18" ht="12.75" hidden="1">
      <c r="B171" s="18">
        <v>92</v>
      </c>
      <c r="C171" s="37">
        <v>0.03738000000000006</v>
      </c>
      <c r="D171" s="19"/>
      <c r="F171" s="18">
        <f>IF(H135="Armatursats typ 3",H171,0)</f>
        <v>0</v>
      </c>
      <c r="G171" s="7">
        <f>E34</f>
        <v>2</v>
      </c>
      <c r="H171" s="7">
        <f>IF(G171&gt;5,0,HLOOKUP(G171,H172:P174,3))</f>
        <v>5535370</v>
      </c>
      <c r="I171" s="7"/>
      <c r="J171" s="7"/>
      <c r="K171" s="7"/>
      <c r="L171" s="7"/>
      <c r="M171" s="7"/>
      <c r="N171" s="7"/>
      <c r="O171" s="7"/>
      <c r="P171" s="19"/>
      <c r="Q171">
        <v>2</v>
      </c>
      <c r="R171">
        <v>5535377</v>
      </c>
    </row>
    <row r="172" spans="2:18" ht="12.75" hidden="1">
      <c r="B172" s="18">
        <v>93</v>
      </c>
      <c r="C172" s="37">
        <v>0.038120000000000064</v>
      </c>
      <c r="D172" s="19"/>
      <c r="F172" s="18">
        <f>IF(SUM(F170:F171)=0,"",F170+F171)</f>
        <v>5535377</v>
      </c>
      <c r="G172" s="7"/>
      <c r="H172" s="7">
        <v>1.5</v>
      </c>
      <c r="I172" s="7">
        <v>2</v>
      </c>
      <c r="J172" s="7">
        <v>2.5</v>
      </c>
      <c r="K172" s="7">
        <v>3</v>
      </c>
      <c r="L172" s="7">
        <v>3.5</v>
      </c>
      <c r="M172" s="7">
        <v>4</v>
      </c>
      <c r="N172" s="7">
        <v>4.5</v>
      </c>
      <c r="O172" s="7">
        <v>5</v>
      </c>
      <c r="P172" s="19">
        <v>6</v>
      </c>
      <c r="Q172">
        <v>2.5</v>
      </c>
      <c r="R172">
        <v>5535378</v>
      </c>
    </row>
    <row r="173" spans="2:18" ht="12.75" hidden="1">
      <c r="B173" s="18">
        <v>94</v>
      </c>
      <c r="C173" s="37">
        <v>0.038860000000000075</v>
      </c>
      <c r="D173" s="19"/>
      <c r="F173" s="18">
        <f>IF(H140="Armatursats typ 3",H171,0)</f>
        <v>0</v>
      </c>
      <c r="G173" s="7"/>
      <c r="H173" s="7">
        <v>1</v>
      </c>
      <c r="I173" s="7">
        <v>2</v>
      </c>
      <c r="J173" s="7">
        <v>3</v>
      </c>
      <c r="K173" s="7">
        <v>4</v>
      </c>
      <c r="L173" s="7">
        <v>5</v>
      </c>
      <c r="M173" s="7">
        <v>6</v>
      </c>
      <c r="N173" s="7">
        <v>7</v>
      </c>
      <c r="O173" s="7">
        <v>8</v>
      </c>
      <c r="P173" s="19">
        <v>9</v>
      </c>
      <c r="Q173">
        <v>3</v>
      </c>
      <c r="R173">
        <v>5535379</v>
      </c>
    </row>
    <row r="174" spans="2:18" ht="12.75" hidden="1">
      <c r="B174" s="18">
        <v>95</v>
      </c>
      <c r="C174" s="7">
        <v>0.03960000000000008</v>
      </c>
      <c r="D174" s="19"/>
      <c r="F174" s="18">
        <f>IF(SUM(F170+F173)=0,"",F170+F173)</f>
        <v>5535377</v>
      </c>
      <c r="G174" s="25"/>
      <c r="H174" s="25">
        <v>5535320</v>
      </c>
      <c r="I174" s="25">
        <v>5535370</v>
      </c>
      <c r="J174" s="25">
        <v>5535371</v>
      </c>
      <c r="K174" s="25">
        <v>5535372</v>
      </c>
      <c r="L174" s="25">
        <v>5535373</v>
      </c>
      <c r="M174" s="25"/>
      <c r="N174" s="25"/>
      <c r="O174" s="25"/>
      <c r="P174" s="25"/>
      <c r="Q174">
        <v>3.5</v>
      </c>
      <c r="R174">
        <v>5535380</v>
      </c>
    </row>
    <row r="175" spans="2:18" ht="12.75" hidden="1">
      <c r="B175" s="18">
        <v>96</v>
      </c>
      <c r="C175" s="37">
        <v>0.04038000000000008</v>
      </c>
      <c r="D175" s="19"/>
      <c r="Q175">
        <v>4</v>
      </c>
      <c r="R175">
        <v>5535381</v>
      </c>
    </row>
    <row r="176" spans="2:18" ht="12.75" hidden="1">
      <c r="B176" s="18">
        <v>97</v>
      </c>
      <c r="C176" s="37">
        <v>0.041160000000000085</v>
      </c>
      <c r="D176" s="19"/>
      <c r="Q176">
        <v>5</v>
      </c>
      <c r="R176">
        <v>5535382</v>
      </c>
    </row>
    <row r="177" spans="2:14" ht="12.75" hidden="1">
      <c r="B177" s="18">
        <v>98</v>
      </c>
      <c r="C177" s="37">
        <v>0.04194000000000009</v>
      </c>
      <c r="D177" s="19"/>
      <c r="F177" s="33">
        <f>D72</f>
        <v>200</v>
      </c>
      <c r="G177" s="35" t="s">
        <v>72</v>
      </c>
      <c r="H177" s="34"/>
      <c r="J177" s="33" t="s">
        <v>73</v>
      </c>
      <c r="K177" s="35"/>
      <c r="L177" s="35"/>
      <c r="M177" s="35"/>
      <c r="N177" s="34"/>
    </row>
    <row r="178" spans="2:14" ht="12.75" hidden="1">
      <c r="B178" s="18">
        <v>99</v>
      </c>
      <c r="C178" s="37">
        <v>0.04272000000000009</v>
      </c>
      <c r="D178" s="19"/>
      <c r="F178" s="18">
        <f>VLOOKUP(F177,G178:H188,2)</f>
        <v>5524094</v>
      </c>
      <c r="G178">
        <v>200</v>
      </c>
      <c r="H178" s="19">
        <v>5524094</v>
      </c>
      <c r="J178" s="18" t="str">
        <f>VLOOKUP(E35,K178:M181,1+E45)</f>
        <v>C-1-1-30</v>
      </c>
      <c r="K178" s="7">
        <v>0</v>
      </c>
      <c r="L178" s="7" t="s">
        <v>164</v>
      </c>
      <c r="M178" s="7" t="s">
        <v>74</v>
      </c>
      <c r="N178" s="19"/>
    </row>
    <row r="179" spans="2:14" ht="12.75" hidden="1">
      <c r="B179" s="18">
        <v>100</v>
      </c>
      <c r="C179" s="7">
        <v>0.043500000000000094</v>
      </c>
      <c r="D179" s="19"/>
      <c r="F179" s="18"/>
      <c r="G179" s="7">
        <v>300</v>
      </c>
      <c r="H179" s="19">
        <v>5524095</v>
      </c>
      <c r="J179" s="18"/>
      <c r="K179" s="7">
        <v>25</v>
      </c>
      <c r="L179" s="7" t="s">
        <v>165</v>
      </c>
      <c r="M179" s="7" t="s">
        <v>74</v>
      </c>
      <c r="N179" s="19"/>
    </row>
    <row r="180" spans="2:14" ht="12.75" hidden="1">
      <c r="B180" s="18">
        <v>101</v>
      </c>
      <c r="C180" s="37">
        <v>0.0442800000000001</v>
      </c>
      <c r="D180" s="19"/>
      <c r="F180" s="18"/>
      <c r="G180" s="7">
        <v>500</v>
      </c>
      <c r="H180" s="19">
        <v>5524103</v>
      </c>
      <c r="J180" s="18"/>
      <c r="K180" s="7">
        <v>35</v>
      </c>
      <c r="L180" s="7" t="s">
        <v>166</v>
      </c>
      <c r="M180" s="7" t="s">
        <v>74</v>
      </c>
      <c r="N180" s="19"/>
    </row>
    <row r="181" spans="2:14" ht="12.75" hidden="1">
      <c r="B181" s="18">
        <v>102</v>
      </c>
      <c r="C181" s="37">
        <v>0.0450600000000001</v>
      </c>
      <c r="D181" s="19"/>
      <c r="F181" s="18"/>
      <c r="G181" s="7">
        <v>800</v>
      </c>
      <c r="H181" s="19">
        <v>5524111</v>
      </c>
      <c r="J181" s="18"/>
      <c r="K181" s="7">
        <v>45</v>
      </c>
      <c r="L181" s="7" t="s">
        <v>74</v>
      </c>
      <c r="M181" s="7" t="s">
        <v>74</v>
      </c>
      <c r="N181" s="19"/>
    </row>
    <row r="182" spans="2:14" ht="12.75" hidden="1">
      <c r="B182" s="18">
        <v>103</v>
      </c>
      <c r="C182" s="37">
        <v>0.0458400000000001</v>
      </c>
      <c r="D182" s="19"/>
      <c r="F182" s="18"/>
      <c r="G182" s="7">
        <v>1000</v>
      </c>
      <c r="H182" s="19">
        <v>5524129</v>
      </c>
      <c r="J182" s="18" t="str">
        <f>VLOOKUP(E35,K182:M185,(1+E45))</f>
        <v>C-1-3-30</v>
      </c>
      <c r="K182" s="7">
        <v>0</v>
      </c>
      <c r="L182" s="7" t="s">
        <v>167</v>
      </c>
      <c r="M182" s="7" t="s">
        <v>170</v>
      </c>
      <c r="N182" s="19"/>
    </row>
    <row r="183" spans="2:14" ht="12.75" hidden="1">
      <c r="B183" s="18">
        <v>104</v>
      </c>
      <c r="C183" s="37">
        <v>0.046620000000000106</v>
      </c>
      <c r="D183" s="19"/>
      <c r="F183" s="18"/>
      <c r="G183" s="7">
        <v>1500</v>
      </c>
      <c r="H183" s="19">
        <v>5524145</v>
      </c>
      <c r="J183" s="18"/>
      <c r="K183" s="7">
        <v>25</v>
      </c>
      <c r="L183" s="7" t="s">
        <v>168</v>
      </c>
      <c r="M183" s="7" t="s">
        <v>171</v>
      </c>
      <c r="N183" s="19"/>
    </row>
    <row r="184" spans="2:14" ht="12.75" hidden="1">
      <c r="B184" s="18">
        <v>105</v>
      </c>
      <c r="C184" s="7">
        <v>0.04740000000000011</v>
      </c>
      <c r="D184" s="19"/>
      <c r="F184" s="18"/>
      <c r="G184" s="7">
        <v>2000</v>
      </c>
      <c r="H184" s="19">
        <v>5524152</v>
      </c>
      <c r="J184" s="18"/>
      <c r="K184" s="7">
        <v>35</v>
      </c>
      <c r="L184" s="7" t="s">
        <v>169</v>
      </c>
      <c r="M184" s="7" t="s">
        <v>172</v>
      </c>
      <c r="N184" s="19"/>
    </row>
    <row r="185" spans="2:14" ht="12.75" hidden="1">
      <c r="B185" s="18">
        <v>106</v>
      </c>
      <c r="C185" s="37">
        <v>0.04822000000000011</v>
      </c>
      <c r="D185" s="19"/>
      <c r="F185" s="18"/>
      <c r="G185" s="7">
        <v>2500</v>
      </c>
      <c r="H185" s="19">
        <v>5524160</v>
      </c>
      <c r="J185" s="28"/>
      <c r="K185" s="25">
        <v>45</v>
      </c>
      <c r="L185" s="25" t="s">
        <v>74</v>
      </c>
      <c r="M185" s="25" t="s">
        <v>74</v>
      </c>
      <c r="N185" s="24"/>
    </row>
    <row r="186" spans="2:10" ht="12.75" hidden="1">
      <c r="B186" s="18">
        <v>107</v>
      </c>
      <c r="C186" s="37">
        <v>0.049040000000000104</v>
      </c>
      <c r="D186" s="19"/>
      <c r="F186" s="18"/>
      <c r="G186" s="7">
        <v>3000</v>
      </c>
      <c r="H186" s="19">
        <v>5524178</v>
      </c>
      <c r="J186" t="s">
        <v>75</v>
      </c>
    </row>
    <row r="187" spans="2:12" ht="12.75" hidden="1">
      <c r="B187" s="18">
        <v>108</v>
      </c>
      <c r="C187" s="37">
        <v>0.049860000000000106</v>
      </c>
      <c r="D187" s="19"/>
      <c r="F187" s="18"/>
      <c r="G187" s="7">
        <v>4000</v>
      </c>
      <c r="H187" s="19">
        <v>5524186</v>
      </c>
      <c r="J187">
        <f>VLOOKUP('Cirex UC'!F21,K187:L195,2)</f>
        <v>5524112</v>
      </c>
      <c r="K187" s="7" t="s">
        <v>164</v>
      </c>
      <c r="L187" s="4">
        <v>5524112</v>
      </c>
    </row>
    <row r="188" spans="2:12" ht="12.75" hidden="1">
      <c r="B188" s="18">
        <v>109</v>
      </c>
      <c r="C188" s="37">
        <v>0.0506800000000001</v>
      </c>
      <c r="D188" s="19"/>
      <c r="F188" s="18"/>
      <c r="G188" s="7">
        <v>5000</v>
      </c>
      <c r="H188" s="19">
        <v>5524194</v>
      </c>
      <c r="K188" s="7" t="s">
        <v>165</v>
      </c>
      <c r="L188" s="4">
        <v>5524113</v>
      </c>
    </row>
    <row r="189" spans="2:12" ht="12.75" hidden="1">
      <c r="B189" s="18">
        <v>110</v>
      </c>
      <c r="C189" s="7">
        <v>0.0515000000000001</v>
      </c>
      <c r="D189" s="19"/>
      <c r="F189" s="18">
        <f>D72</f>
        <v>200</v>
      </c>
      <c r="G189" s="7" t="s">
        <v>76</v>
      </c>
      <c r="H189" s="19"/>
      <c r="K189" s="7" t="s">
        <v>166</v>
      </c>
      <c r="L189" s="4">
        <v>5524114</v>
      </c>
    </row>
    <row r="190" spans="2:12" ht="12.75" hidden="1">
      <c r="B190" s="18">
        <v>111</v>
      </c>
      <c r="C190" s="37">
        <v>0.052360000000000094</v>
      </c>
      <c r="D190" s="19"/>
      <c r="F190" s="18">
        <f>VLOOKUP(F189,G178:H188,2)</f>
        <v>5524094</v>
      </c>
      <c r="G190" s="7">
        <v>300</v>
      </c>
      <c r="H190" s="19">
        <v>5520218</v>
      </c>
      <c r="K190" s="7" t="s">
        <v>167</v>
      </c>
      <c r="L190" s="4">
        <v>5524115</v>
      </c>
    </row>
    <row r="191" spans="2:12" ht="12.75" hidden="1">
      <c r="B191" s="18">
        <v>112</v>
      </c>
      <c r="C191" s="37">
        <v>0.05322000000000009</v>
      </c>
      <c r="D191" s="19"/>
      <c r="F191" s="18"/>
      <c r="G191" s="7">
        <v>500</v>
      </c>
      <c r="H191" s="19">
        <v>5520226</v>
      </c>
      <c r="K191" s="7" t="s">
        <v>168</v>
      </c>
      <c r="L191" s="4">
        <v>5524116</v>
      </c>
    </row>
    <row r="192" spans="2:12" ht="12.75" hidden="1">
      <c r="B192" s="18">
        <v>113</v>
      </c>
      <c r="C192" s="37">
        <v>0.054080000000000086</v>
      </c>
      <c r="D192" s="19"/>
      <c r="F192" s="18"/>
      <c r="G192" s="7">
        <v>800</v>
      </c>
      <c r="H192" s="19">
        <v>5520234</v>
      </c>
      <c r="K192" s="7" t="s">
        <v>169</v>
      </c>
      <c r="L192" s="4">
        <v>5524117</v>
      </c>
    </row>
    <row r="193" spans="2:12" ht="12.75" hidden="1">
      <c r="B193" s="18">
        <v>114</v>
      </c>
      <c r="C193" s="37">
        <v>0.05494000000000008</v>
      </c>
      <c r="D193" s="19"/>
      <c r="F193" s="18"/>
      <c r="G193" s="7">
        <v>1000</v>
      </c>
      <c r="H193" s="19">
        <v>5520242</v>
      </c>
      <c r="K193" s="7" t="s">
        <v>170</v>
      </c>
      <c r="L193" s="4">
        <v>5524118</v>
      </c>
    </row>
    <row r="194" spans="2:12" ht="12.75" hidden="1">
      <c r="B194" s="18">
        <v>115</v>
      </c>
      <c r="C194" s="7">
        <v>0.05580000000000007</v>
      </c>
      <c r="D194" s="19"/>
      <c r="F194" s="18"/>
      <c r="G194" s="7">
        <v>1500</v>
      </c>
      <c r="H194" s="19">
        <v>5520267</v>
      </c>
      <c r="K194" s="7" t="s">
        <v>171</v>
      </c>
      <c r="L194" s="4">
        <v>5524119</v>
      </c>
    </row>
    <row r="195" spans="2:12" ht="12.75" hidden="1">
      <c r="B195" s="18">
        <v>116</v>
      </c>
      <c r="C195" s="37">
        <v>0.05670000000000006</v>
      </c>
      <c r="D195" s="19"/>
      <c r="F195" s="18"/>
      <c r="G195" s="7">
        <v>2000</v>
      </c>
      <c r="H195" s="19">
        <v>5520283</v>
      </c>
      <c r="K195" s="7" t="s">
        <v>172</v>
      </c>
      <c r="L195" s="4">
        <v>5524120</v>
      </c>
    </row>
    <row r="196" spans="2:8" ht="12.75" hidden="1">
      <c r="B196" s="18">
        <v>117</v>
      </c>
      <c r="C196" s="37">
        <v>0.057600000000000054</v>
      </c>
      <c r="D196" s="19"/>
      <c r="F196" s="18"/>
      <c r="G196" s="7">
        <v>2500</v>
      </c>
      <c r="H196" s="19">
        <v>5520291</v>
      </c>
    </row>
    <row r="197" spans="2:8" ht="12.75" hidden="1">
      <c r="B197" s="18">
        <v>118</v>
      </c>
      <c r="C197" s="37">
        <v>0.05850000000000004</v>
      </c>
      <c r="D197" s="19"/>
      <c r="F197" s="18"/>
      <c r="G197" s="7">
        <v>3000</v>
      </c>
      <c r="H197" s="19">
        <v>5520309</v>
      </c>
    </row>
    <row r="198" spans="2:8" ht="12.75" hidden="1">
      <c r="B198" s="18">
        <v>119</v>
      </c>
      <c r="C198" s="37">
        <v>0.05940000000000003</v>
      </c>
      <c r="D198" s="19"/>
      <c r="F198" s="18"/>
      <c r="G198" s="7">
        <v>4000</v>
      </c>
      <c r="H198" s="19">
        <v>5520317</v>
      </c>
    </row>
    <row r="199" spans="2:8" ht="12.75" hidden="1">
      <c r="B199" s="28">
        <v>120</v>
      </c>
      <c r="C199" s="25">
        <v>0.06030000000000002</v>
      </c>
      <c r="D199" s="24"/>
      <c r="F199" s="28"/>
      <c r="G199" s="25">
        <v>5000</v>
      </c>
      <c r="H199" s="24">
        <v>5520325</v>
      </c>
    </row>
    <row r="200" ht="12.75" hidden="1"/>
    <row r="201" ht="12.75" hidden="1"/>
    <row r="202" spans="6:13" ht="12.75" hidden="1">
      <c r="F202" s="33" t="s">
        <v>77</v>
      </c>
      <c r="G202" s="35"/>
      <c r="H202" s="35"/>
      <c r="I202" s="35"/>
      <c r="J202" s="35"/>
      <c r="K202" s="35"/>
      <c r="L202" s="35"/>
      <c r="M202" s="34"/>
    </row>
    <row r="203" spans="6:13" ht="12.75" hidden="1">
      <c r="F203" s="18" t="s">
        <v>78</v>
      </c>
      <c r="G203" s="70">
        <f>VLOOKUP(D59,H203:I219,2)</f>
        <v>5535281</v>
      </c>
      <c r="H203" s="7">
        <v>4</v>
      </c>
      <c r="I203" s="7">
        <v>5535281</v>
      </c>
      <c r="J203" s="7" t="s">
        <v>79</v>
      </c>
      <c r="K203" s="7">
        <f>VLOOKUP(E34,L203:M213,2)</f>
        <v>5535314</v>
      </c>
      <c r="L203" s="7">
        <v>1.5</v>
      </c>
      <c r="M203" s="19">
        <v>5535314</v>
      </c>
    </row>
    <row r="204" spans="6:13" ht="12.75" hidden="1">
      <c r="F204" s="18"/>
      <c r="G204" s="7"/>
      <c r="H204" s="7">
        <v>8</v>
      </c>
      <c r="I204" s="7">
        <v>5535281</v>
      </c>
      <c r="J204" s="7"/>
      <c r="K204" s="7"/>
      <c r="L204" s="7">
        <v>2</v>
      </c>
      <c r="M204" s="19">
        <v>5535314</v>
      </c>
    </row>
    <row r="205" spans="6:13" ht="12.75" hidden="1">
      <c r="F205" s="18"/>
      <c r="G205" s="7"/>
      <c r="H205" s="7">
        <v>12</v>
      </c>
      <c r="I205" s="7">
        <v>5535281</v>
      </c>
      <c r="J205" s="7"/>
      <c r="K205" s="7"/>
      <c r="L205" s="7">
        <v>2.5</v>
      </c>
      <c r="M205" s="19">
        <v>5535314</v>
      </c>
    </row>
    <row r="206" spans="6:13" ht="12.75" hidden="1">
      <c r="F206" s="18"/>
      <c r="G206" s="7"/>
      <c r="H206" s="7">
        <v>18</v>
      </c>
      <c r="I206" s="7">
        <v>5535281</v>
      </c>
      <c r="J206" s="7"/>
      <c r="K206" s="7"/>
      <c r="L206" s="7">
        <v>3</v>
      </c>
      <c r="M206" s="19">
        <v>5535314</v>
      </c>
    </row>
    <row r="207" spans="6:13" ht="12.75" hidden="1">
      <c r="F207" s="18"/>
      <c r="G207" s="7"/>
      <c r="H207" s="7">
        <v>25</v>
      </c>
      <c r="I207" s="7">
        <v>5535281</v>
      </c>
      <c r="J207" s="7"/>
      <c r="K207" s="7"/>
      <c r="L207" s="7">
        <v>3.5</v>
      </c>
      <c r="M207" s="19">
        <v>5535315</v>
      </c>
    </row>
    <row r="208" spans="6:13" ht="12.75" hidden="1">
      <c r="F208" s="18"/>
      <c r="G208" s="7"/>
      <c r="H208" s="7">
        <v>35</v>
      </c>
      <c r="I208" s="7">
        <v>5535289</v>
      </c>
      <c r="J208" s="7"/>
      <c r="K208" s="7"/>
      <c r="L208" s="7">
        <v>4</v>
      </c>
      <c r="M208" s="19">
        <v>5535315</v>
      </c>
    </row>
    <row r="209" spans="6:13" ht="12.75" hidden="1">
      <c r="F209" s="18"/>
      <c r="G209" s="7"/>
      <c r="H209" s="7">
        <v>50</v>
      </c>
      <c r="I209" s="7">
        <v>5535289</v>
      </c>
      <c r="J209" s="7"/>
      <c r="K209" s="7"/>
      <c r="L209" s="7">
        <v>4.5</v>
      </c>
      <c r="M209" s="19">
        <v>5535315</v>
      </c>
    </row>
    <row r="210" spans="6:13" ht="12.75" hidden="1">
      <c r="F210" s="18"/>
      <c r="G210" s="7"/>
      <c r="H210" s="7">
        <v>80</v>
      </c>
      <c r="I210" s="7"/>
      <c r="J210" s="7"/>
      <c r="K210" s="7"/>
      <c r="L210" s="7">
        <v>5</v>
      </c>
      <c r="M210" s="19">
        <v>5535316</v>
      </c>
    </row>
    <row r="211" spans="6:13" ht="12.75" hidden="1">
      <c r="F211" s="18"/>
      <c r="G211" s="7"/>
      <c r="H211" s="7">
        <v>150</v>
      </c>
      <c r="I211" s="7"/>
      <c r="J211" s="7"/>
      <c r="K211" s="7"/>
      <c r="L211" s="7">
        <v>6</v>
      </c>
      <c r="M211" s="19">
        <v>5535316</v>
      </c>
    </row>
    <row r="212" spans="6:13" ht="12.75" hidden="1">
      <c r="F212" s="18"/>
      <c r="G212" s="7"/>
      <c r="H212" s="7">
        <v>200</v>
      </c>
      <c r="I212" s="7"/>
      <c r="J212" s="7"/>
      <c r="K212" s="7"/>
      <c r="L212" s="7">
        <v>7</v>
      </c>
      <c r="M212" s="19">
        <v>5535316</v>
      </c>
    </row>
    <row r="213" spans="6:13" ht="12.75" hidden="1">
      <c r="F213" s="18"/>
      <c r="G213" s="7"/>
      <c r="H213" s="7">
        <v>300</v>
      </c>
      <c r="I213" s="7"/>
      <c r="J213" s="7"/>
      <c r="K213" s="7"/>
      <c r="L213" s="7">
        <v>8</v>
      </c>
      <c r="M213" s="19">
        <v>5535317</v>
      </c>
    </row>
    <row r="214" spans="6:13" ht="12.75" hidden="1">
      <c r="F214" s="18"/>
      <c r="G214" s="7"/>
      <c r="H214" s="7">
        <v>500</v>
      </c>
      <c r="I214" s="7"/>
      <c r="J214" s="7"/>
      <c r="K214" s="7"/>
      <c r="L214" s="7"/>
      <c r="M214" s="19"/>
    </row>
    <row r="215" spans="6:13" ht="12.75" hidden="1">
      <c r="F215" s="18"/>
      <c r="G215" s="7"/>
      <c r="H215" s="7">
        <v>700</v>
      </c>
      <c r="I215" s="7"/>
      <c r="J215" s="7"/>
      <c r="K215" s="7"/>
      <c r="L215" s="7"/>
      <c r="M215" s="19"/>
    </row>
    <row r="216" spans="6:13" ht="12.75" hidden="1">
      <c r="F216" s="18"/>
      <c r="G216" s="7"/>
      <c r="H216" s="7">
        <v>900</v>
      </c>
      <c r="I216" s="7"/>
      <c r="J216" s="7"/>
      <c r="K216" s="7"/>
      <c r="L216" s="7"/>
      <c r="M216" s="19"/>
    </row>
    <row r="217" spans="6:13" ht="12.75" hidden="1">
      <c r="F217" s="18"/>
      <c r="G217" s="7"/>
      <c r="H217" s="7" t="s">
        <v>56</v>
      </c>
      <c r="I217" s="7"/>
      <c r="J217" s="7"/>
      <c r="K217" s="7"/>
      <c r="L217" s="7"/>
      <c r="M217" s="19"/>
    </row>
    <row r="218" spans="6:13" ht="12.75" hidden="1">
      <c r="F218" s="18"/>
      <c r="G218" s="7"/>
      <c r="H218" s="7" t="s">
        <v>57</v>
      </c>
      <c r="I218" s="7"/>
      <c r="J218" s="7"/>
      <c r="K218" s="7"/>
      <c r="L218" s="7"/>
      <c r="M218" s="19"/>
    </row>
    <row r="219" spans="6:13" ht="12.75" hidden="1">
      <c r="F219" s="28"/>
      <c r="G219" s="25"/>
      <c r="H219" s="25" t="s">
        <v>58</v>
      </c>
      <c r="I219" s="25"/>
      <c r="J219" s="25"/>
      <c r="K219" s="25"/>
      <c r="L219" s="25"/>
      <c r="M219" s="24"/>
    </row>
  </sheetData>
  <sheetProtection password="CC7F" sheet="1" objects="1" scenarios="1"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headerFooter alignWithMargins="0">
    <oddHeader>&amp;C&amp;A</oddHeader>
    <oddFooter>&amp;CSida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15"/>
  <sheetViews>
    <sheetView showGridLines="0" zoomScale="90" zoomScaleNormal="90" zoomScalePageLayoutView="0" workbookViewId="0" topLeftCell="A1">
      <selection activeCell="D8" sqref="D8"/>
    </sheetView>
  </sheetViews>
  <sheetFormatPr defaultColWidth="9.140625" defaultRowHeight="12.75"/>
  <cols>
    <col min="2" max="2" width="11.57421875" style="0" customWidth="1"/>
    <col min="3" max="3" width="10.57421875" style="0" customWidth="1"/>
    <col min="4" max="4" width="11.140625" style="0" customWidth="1"/>
    <col min="5" max="5" width="8.140625" style="0" customWidth="1"/>
    <col min="6" max="6" width="6.28125" style="0" customWidth="1"/>
    <col min="7" max="7" width="11.00390625" style="0" customWidth="1"/>
    <col min="9" max="9" width="7.8515625" style="0" customWidth="1"/>
    <col min="13" max="13" width="13.7109375" style="0" hidden="1" customWidth="1"/>
    <col min="14" max="20" width="9.140625" style="0" hidden="1" customWidth="1"/>
  </cols>
  <sheetData>
    <row r="1" ht="12.75">
      <c r="A1" s="43"/>
    </row>
    <row r="2" spans="1:2" ht="12.75">
      <c r="A2" s="42" t="s">
        <v>80</v>
      </c>
      <c r="B2" s="16">
        <v>38131</v>
      </c>
    </row>
    <row r="5" ht="20.25">
      <c r="C5" s="39" t="s">
        <v>124</v>
      </c>
    </row>
    <row r="6" ht="12.75">
      <c r="E6" s="4" t="s">
        <v>185</v>
      </c>
    </row>
    <row r="8" spans="3:4" ht="12.75">
      <c r="C8" t="s">
        <v>82</v>
      </c>
      <c r="D8" s="26"/>
    </row>
    <row r="9" ht="12.75">
      <c r="A9" s="29"/>
    </row>
    <row r="10" spans="1:21" s="3" customFormat="1" ht="12.75">
      <c r="A10" s="44" t="s">
        <v>83</v>
      </c>
      <c r="B10" s="44" t="s">
        <v>84</v>
      </c>
      <c r="C10" s="45"/>
      <c r="D10" s="46"/>
      <c r="E10" s="46" t="s">
        <v>85</v>
      </c>
      <c r="F10" s="46"/>
      <c r="G10" s="47"/>
      <c r="H10" s="44" t="s">
        <v>86</v>
      </c>
      <c r="I10" s="44" t="s">
        <v>87</v>
      </c>
      <c r="J10" s="72"/>
      <c r="M10" s="29"/>
      <c r="N10"/>
      <c r="O10"/>
      <c r="P10"/>
      <c r="Q10"/>
      <c r="R10"/>
      <c r="S10"/>
      <c r="T10"/>
      <c r="U10"/>
    </row>
    <row r="11" spans="1:10" ht="12.75">
      <c r="A11" s="17"/>
      <c r="B11" s="17"/>
      <c r="C11" s="18"/>
      <c r="D11" s="7"/>
      <c r="E11" s="7"/>
      <c r="F11" s="7"/>
      <c r="G11" s="19"/>
      <c r="H11" s="17"/>
      <c r="I11" s="17"/>
      <c r="J11" s="7"/>
    </row>
    <row r="12" spans="1:15" ht="12.75">
      <c r="A12" s="27" t="s">
        <v>110</v>
      </c>
      <c r="B12" s="51"/>
      <c r="C12" s="20" t="s">
        <v>174</v>
      </c>
      <c r="D12" s="7"/>
      <c r="E12" s="7"/>
      <c r="F12" s="7"/>
      <c r="G12" s="19"/>
      <c r="H12" s="17"/>
      <c r="I12" s="17"/>
      <c r="J12" s="7"/>
      <c r="M12" t="s">
        <v>125</v>
      </c>
      <c r="N12" s="26">
        <f>Beräkning!F5+Beräkning!F6+Beräkning!F7</f>
        <v>0</v>
      </c>
      <c r="O12" t="s">
        <v>5</v>
      </c>
    </row>
    <row r="13" spans="1:15" ht="12.75">
      <c r="A13" s="17"/>
      <c r="B13" s="17"/>
      <c r="C13" s="86" t="s">
        <v>157</v>
      </c>
      <c r="D13" s="7"/>
      <c r="E13" s="7"/>
      <c r="F13" s="7"/>
      <c r="G13" s="19"/>
      <c r="H13" s="17"/>
      <c r="I13" s="17"/>
      <c r="J13" s="7"/>
      <c r="M13" t="s">
        <v>126</v>
      </c>
      <c r="N13" s="26">
        <f>Beräkning!E34</f>
        <v>2</v>
      </c>
      <c r="O13" t="s">
        <v>32</v>
      </c>
    </row>
    <row r="14" spans="1:14" ht="12.75">
      <c r="A14" s="17"/>
      <c r="B14" s="17"/>
      <c r="C14" s="20" t="s">
        <v>111</v>
      </c>
      <c r="D14" s="7"/>
      <c r="F14" s="3">
        <f>Beräkning!D72</f>
        <v>200</v>
      </c>
      <c r="G14" s="7" t="s">
        <v>10</v>
      </c>
      <c r="H14" s="40">
        <v>1</v>
      </c>
      <c r="I14" s="21" t="s">
        <v>90</v>
      </c>
      <c r="J14" s="7"/>
      <c r="N14">
        <f>(N13+1-20)*254.38+5422</f>
        <v>1097.54</v>
      </c>
    </row>
    <row r="15" spans="1:10" ht="12.75">
      <c r="A15" s="17"/>
      <c r="B15" s="17"/>
      <c r="F15" s="56" t="str">
        <f>IF(G15="","","RSKnr")</f>
        <v>RSKnr</v>
      </c>
      <c r="G15" s="4">
        <f>IF(F14="","",Beräkning!F178)</f>
        <v>5524094</v>
      </c>
      <c r="H15" s="21"/>
      <c r="I15" s="17"/>
      <c r="J15" s="7"/>
    </row>
    <row r="16" spans="1:15" ht="12.75">
      <c r="A16" s="17"/>
      <c r="B16" s="17"/>
      <c r="C16" s="30" t="s">
        <v>112</v>
      </c>
      <c r="H16" s="27"/>
      <c r="I16" s="17"/>
      <c r="J16" s="7"/>
      <c r="M16" t="s">
        <v>127</v>
      </c>
      <c r="N16">
        <f>E47</f>
        <v>12</v>
      </c>
      <c r="O16" t="s">
        <v>30</v>
      </c>
    </row>
    <row r="17" spans="1:15" ht="12.75">
      <c r="A17" s="17"/>
      <c r="B17" s="17"/>
      <c r="C17" t="s">
        <v>113</v>
      </c>
      <c r="D17" s="7"/>
      <c r="E17" s="7"/>
      <c r="F17" s="7"/>
      <c r="G17" s="19"/>
      <c r="H17" s="17"/>
      <c r="I17" s="17"/>
      <c r="J17" s="7"/>
      <c r="M17" t="s">
        <v>128</v>
      </c>
      <c r="N17" s="26">
        <v>1</v>
      </c>
      <c r="O17" t="s">
        <v>90</v>
      </c>
    </row>
    <row r="18" spans="1:15" ht="14.25">
      <c r="A18" s="17"/>
      <c r="B18" s="17"/>
      <c r="C18" s="18" t="s">
        <v>175</v>
      </c>
      <c r="F18" s="4"/>
      <c r="G18" s="19"/>
      <c r="H18" s="17"/>
      <c r="I18" s="17"/>
      <c r="J18" s="7"/>
      <c r="M18" t="s">
        <v>129</v>
      </c>
      <c r="N18" s="26">
        <f>E48</f>
        <v>5</v>
      </c>
      <c r="O18" t="s">
        <v>90</v>
      </c>
    </row>
    <row r="19" spans="1:14" ht="12.75">
      <c r="A19" s="17"/>
      <c r="B19" s="17"/>
      <c r="C19" t="s">
        <v>114</v>
      </c>
      <c r="D19" s="7"/>
      <c r="E19" s="7"/>
      <c r="F19" s="4"/>
      <c r="G19" s="19"/>
      <c r="H19" s="17"/>
      <c r="I19" s="17"/>
      <c r="J19" s="7"/>
      <c r="M19" t="s">
        <v>130</v>
      </c>
      <c r="N19">
        <f>3+N17*3.5+N18*0.5</f>
        <v>9</v>
      </c>
    </row>
    <row r="20" spans="1:10" ht="12.75">
      <c r="A20" s="17"/>
      <c r="B20" s="17"/>
      <c r="C20" s="18"/>
      <c r="D20" s="7"/>
      <c r="E20" s="7"/>
      <c r="F20" s="22"/>
      <c r="G20" s="19"/>
      <c r="H20" s="17"/>
      <c r="I20" s="17"/>
      <c r="J20" s="7"/>
    </row>
    <row r="21" spans="1:15" ht="17.25" customHeight="1">
      <c r="A21" s="17"/>
      <c r="B21" s="17"/>
      <c r="C21" s="2" t="s">
        <v>115</v>
      </c>
      <c r="D21" s="7"/>
      <c r="E21" s="75" t="s">
        <v>116</v>
      </c>
      <c r="F21" s="75" t="str">
        <f>IF(Beräkning!E44=1,Beräkning!J178,Beräkning!J182)</f>
        <v>C-1-1-30</v>
      </c>
      <c r="G21" s="19"/>
      <c r="H21" s="80">
        <v>1</v>
      </c>
      <c r="I21" s="80" t="s">
        <v>90</v>
      </c>
      <c r="J21" s="7"/>
      <c r="M21" t="s">
        <v>131</v>
      </c>
      <c r="O21" s="4">
        <f>Q34</f>
        <v>50</v>
      </c>
    </row>
    <row r="22" spans="1:18" ht="12.75">
      <c r="A22" s="17"/>
      <c r="B22" s="17"/>
      <c r="C22" t="str">
        <f>IF(Beräkning!E45=1,"enkelpumputförande","dubbelpumputförande")</f>
        <v>enkelpumputförande</v>
      </c>
      <c r="F22" s="4" t="str">
        <f>IF(G22="","","RSKnr")</f>
        <v>RSKnr</v>
      </c>
      <c r="G22" s="4">
        <f>Beräkning!J187</f>
        <v>5524112</v>
      </c>
      <c r="H22" s="17"/>
      <c r="I22" s="17"/>
      <c r="J22" s="7"/>
      <c r="M22" t="s">
        <v>132</v>
      </c>
      <c r="R22" t="s">
        <v>133</v>
      </c>
    </row>
    <row r="23" spans="1:20" ht="12.75">
      <c r="A23" s="17"/>
      <c r="B23" s="17"/>
      <c r="C23" s="74" t="s">
        <v>117</v>
      </c>
      <c r="D23" s="7"/>
      <c r="E23" s="22">
        <f>Beräkning!E35</f>
        <v>15</v>
      </c>
      <c r="F23" s="7" t="s">
        <v>118</v>
      </c>
      <c r="H23" s="17"/>
      <c r="I23" s="17"/>
      <c r="J23" s="7"/>
      <c r="M23">
        <v>50</v>
      </c>
      <c r="N23">
        <v>54.5</v>
      </c>
      <c r="P23" s="11">
        <f>$N$14*1000000*N23/1000*N23/1000/($N$19+0.02*$N$16/N23*1000)^0.49/1000</f>
        <v>913.8475247900589</v>
      </c>
      <c r="Q23">
        <f>IF(P23&gt;$N$12,M23,"")</f>
        <v>50</v>
      </c>
      <c r="R23" s="54">
        <f>$N$19+0.02*$N$16/N23*1000</f>
        <v>13.40366972477064</v>
      </c>
      <c r="S23" s="11">
        <f>IF(R23&lt;12.4,$N$14*1000000*N23/1000*N23/1000/12.4^0.49/1000,"")</f>
      </c>
      <c r="T23">
        <f aca="true" t="shared" si="0" ref="T23:T29">IF(S23="","",Q23)</f>
      </c>
    </row>
    <row r="24" spans="1:20" ht="12.75">
      <c r="A24" s="17"/>
      <c r="B24" s="17"/>
      <c r="C24" s="76" t="s">
        <v>119</v>
      </c>
      <c r="D24" s="7" t="str">
        <f>IF(Beräkning!E44=1,"1-fas 240 V","3-fas 400 V")</f>
        <v>1-fas 240 V</v>
      </c>
      <c r="E24" s="7"/>
      <c r="F24" s="7"/>
      <c r="G24" s="19"/>
      <c r="H24" s="17"/>
      <c r="I24" s="17"/>
      <c r="J24" s="7"/>
      <c r="M24">
        <v>65</v>
      </c>
      <c r="N24">
        <v>70.3</v>
      </c>
      <c r="P24" s="11">
        <f aca="true" t="shared" si="1" ref="P24:P29">$N$14*1000000*N24/1000*N24/1000/($N$19+0.02*$N$16/N24*1000)^0.49/1000</f>
        <v>1578.7569601210444</v>
      </c>
      <c r="Q24">
        <f aca="true" t="shared" si="2" ref="Q24:Q29">IF(P24&gt;$N$12,M24,"")</f>
        <v>65</v>
      </c>
      <c r="R24" s="54">
        <f aca="true" t="shared" si="3" ref="R24:R29">$N$19+0.02*$N$16/N24*1000</f>
        <v>12.41394025604552</v>
      </c>
      <c r="S24" s="11">
        <f aca="true" t="shared" si="4" ref="S24:S29">IF(R24&lt;12.4,$N$14*1000000*N24/1000*N24/1000/12.4^0.49/1000,"")</f>
      </c>
      <c r="T24">
        <f t="shared" si="0"/>
      </c>
    </row>
    <row r="25" spans="1:20" ht="12.75">
      <c r="A25" s="17"/>
      <c r="B25" s="17"/>
      <c r="C25" s="18"/>
      <c r="D25" s="7"/>
      <c r="E25" s="7"/>
      <c r="F25" s="7"/>
      <c r="G25" s="19"/>
      <c r="H25" s="17"/>
      <c r="I25" s="17"/>
      <c r="J25" s="7"/>
      <c r="M25">
        <v>80</v>
      </c>
      <c r="N25">
        <v>82.5</v>
      </c>
      <c r="P25" s="11">
        <f t="shared" si="1"/>
        <v>2218.9511177959766</v>
      </c>
      <c r="Q25">
        <f t="shared" si="2"/>
        <v>80</v>
      </c>
      <c r="R25" s="54">
        <f t="shared" si="3"/>
        <v>11.909090909090908</v>
      </c>
      <c r="S25" s="11">
        <f t="shared" si="4"/>
        <v>2175.4626354849443</v>
      </c>
      <c r="T25">
        <f t="shared" si="0"/>
        <v>80</v>
      </c>
    </row>
    <row r="26" spans="1:20" ht="12.75">
      <c r="A26" s="17"/>
      <c r="B26" s="17"/>
      <c r="C26" s="18"/>
      <c r="D26" s="7"/>
      <c r="E26" s="57"/>
      <c r="F26" s="7"/>
      <c r="G26" s="19"/>
      <c r="H26" s="21"/>
      <c r="I26" s="21"/>
      <c r="J26" s="7"/>
      <c r="M26">
        <v>100</v>
      </c>
      <c r="N26">
        <v>107.1</v>
      </c>
      <c r="P26" s="11">
        <f t="shared" si="1"/>
        <v>3846.8640323753693</v>
      </c>
      <c r="Q26">
        <f t="shared" si="2"/>
        <v>100</v>
      </c>
      <c r="R26" s="54">
        <f t="shared" si="3"/>
        <v>11.240896358543417</v>
      </c>
      <c r="S26" s="11">
        <f t="shared" si="4"/>
        <v>3666.2550403956448</v>
      </c>
      <c r="T26">
        <f t="shared" si="0"/>
        <v>100</v>
      </c>
    </row>
    <row r="27" spans="1:20" ht="12.75">
      <c r="A27" s="17"/>
      <c r="B27" s="17"/>
      <c r="C27" s="18"/>
      <c r="D27" s="7"/>
      <c r="E27" s="7"/>
      <c r="F27" s="7"/>
      <c r="G27" s="19"/>
      <c r="H27" s="17"/>
      <c r="I27" s="17"/>
      <c r="J27" s="7"/>
      <c r="M27">
        <v>125</v>
      </c>
      <c r="N27">
        <v>131.7</v>
      </c>
      <c r="P27" s="11">
        <f t="shared" si="1"/>
        <v>5926.18025366105</v>
      </c>
      <c r="Q27">
        <f t="shared" si="2"/>
        <v>125</v>
      </c>
      <c r="R27" s="54">
        <f t="shared" si="3"/>
        <v>10.822323462414579</v>
      </c>
      <c r="S27" s="11">
        <f t="shared" si="4"/>
        <v>5543.898638985705</v>
      </c>
      <c r="T27">
        <f t="shared" si="0"/>
        <v>125</v>
      </c>
    </row>
    <row r="28" spans="1:20" ht="12.75">
      <c r="A28" s="17"/>
      <c r="B28" s="17"/>
      <c r="C28" s="30" t="s">
        <v>122</v>
      </c>
      <c r="D28" s="7"/>
      <c r="E28" s="7"/>
      <c r="F28" s="7"/>
      <c r="G28" s="19"/>
      <c r="H28" s="17"/>
      <c r="I28" s="17"/>
      <c r="J28" s="7"/>
      <c r="M28">
        <v>150</v>
      </c>
      <c r="N28">
        <v>159.3</v>
      </c>
      <c r="P28" s="11">
        <f t="shared" si="1"/>
        <v>8797.02055963219</v>
      </c>
      <c r="Q28">
        <f t="shared" si="2"/>
        <v>150</v>
      </c>
      <c r="R28" s="54">
        <f t="shared" si="3"/>
        <v>10.506591337099811</v>
      </c>
      <c r="S28" s="11">
        <f t="shared" si="4"/>
        <v>8111.016464978121</v>
      </c>
      <c r="T28">
        <f t="shared" si="0"/>
        <v>150</v>
      </c>
    </row>
    <row r="29" spans="1:20" ht="12.75">
      <c r="A29" s="17"/>
      <c r="B29" s="17"/>
      <c r="C29" s="18" t="s">
        <v>123</v>
      </c>
      <c r="D29" s="7"/>
      <c r="E29" s="7"/>
      <c r="F29" s="7"/>
      <c r="G29" s="77"/>
      <c r="H29" s="17"/>
      <c r="I29" s="17"/>
      <c r="J29" s="7"/>
      <c r="M29">
        <v>200</v>
      </c>
      <c r="N29">
        <v>206.8</v>
      </c>
      <c r="P29" s="11">
        <f t="shared" si="1"/>
        <v>15070.656307696885</v>
      </c>
      <c r="Q29">
        <f t="shared" si="2"/>
        <v>200</v>
      </c>
      <c r="R29" s="54">
        <f t="shared" si="3"/>
        <v>10.160541586073501</v>
      </c>
      <c r="S29" s="11">
        <f t="shared" si="4"/>
        <v>13669.253580191977</v>
      </c>
      <c r="T29">
        <f t="shared" si="0"/>
        <v>200</v>
      </c>
    </row>
    <row r="30" spans="1:20" ht="12.75">
      <c r="A30" s="17"/>
      <c r="B30" s="17"/>
      <c r="C30" s="18" t="s">
        <v>93</v>
      </c>
      <c r="D30" s="7"/>
      <c r="E30" s="7"/>
      <c r="F30" s="22" t="s">
        <v>75</v>
      </c>
      <c r="G30" s="62">
        <f>Beräkning!K203</f>
        <v>5535314</v>
      </c>
      <c r="H30" s="17"/>
      <c r="I30" s="17"/>
      <c r="J30" s="7"/>
      <c r="M30">
        <v>250</v>
      </c>
      <c r="N30">
        <v>260.4</v>
      </c>
      <c r="P30" s="11">
        <f>$N$14*1000000*N30/1000*N30/1000/($N$19+0.02*$N$16/N30*1000)^0.49/1000</f>
        <v>24175.530445109074</v>
      </c>
      <c r="Q30">
        <f>IF(P30&gt;$N$12,M30,"")</f>
        <v>250</v>
      </c>
      <c r="R30" s="54">
        <f>$N$19+0.02*$N$16/N30*1000</f>
        <v>9.921658986175116</v>
      </c>
      <c r="S30" s="11">
        <f>IF(R30&lt;12.4,$N$14*1000000*N30/1000*N30/1000/12.4^0.49/1000,"")</f>
        <v>21673.332372596476</v>
      </c>
      <c r="T30">
        <f>IF(S30="","",Q30)</f>
        <v>250</v>
      </c>
    </row>
    <row r="31" spans="1:20" ht="12.75">
      <c r="A31" s="17"/>
      <c r="B31" s="17"/>
      <c r="C31" s="18"/>
      <c r="D31" s="7"/>
      <c r="E31" s="7"/>
      <c r="F31" s="7"/>
      <c r="G31" s="19"/>
      <c r="H31" s="17"/>
      <c r="I31" s="17"/>
      <c r="J31" s="7"/>
      <c r="M31">
        <v>300</v>
      </c>
      <c r="N31">
        <v>309.7</v>
      </c>
      <c r="P31" s="11">
        <f>$N$14*1000000*N31/1000*N31/1000/($N$19+0.02*$N$16/N31*1000)^0.49/1000</f>
        <v>34446.63336465838</v>
      </c>
      <c r="Q31">
        <f>IF(P31&gt;$N$12,M31,"")</f>
        <v>300</v>
      </c>
      <c r="R31" s="54">
        <f>$N$19+0.02*$N$16/N31*1000</f>
        <v>9.774943493703585</v>
      </c>
      <c r="S31" s="11">
        <f>IF(R31&lt;12.4,$N$14*1000000*N31/1000*N31/1000/12.4^0.49/1000,"")</f>
        <v>30656.752104542167</v>
      </c>
      <c r="T31">
        <f>IF(S31="","",Q31)</f>
        <v>300</v>
      </c>
    </row>
    <row r="32" spans="1:20" ht="12.75">
      <c r="A32" s="17"/>
      <c r="B32" s="17"/>
      <c r="C32" s="18"/>
      <c r="D32" s="7"/>
      <c r="E32" s="7"/>
      <c r="F32" s="7"/>
      <c r="G32" s="19"/>
      <c r="H32" s="17"/>
      <c r="I32" s="17"/>
      <c r="J32" s="7"/>
      <c r="Q32">
        <f>MIN(Q23:Q31)</f>
        <v>50</v>
      </c>
      <c r="S32" s="11"/>
      <c r="T32">
        <f>MIN(T23:T31)</f>
        <v>80</v>
      </c>
    </row>
    <row r="33" spans="1:20" ht="12.75">
      <c r="A33" s="17"/>
      <c r="B33" s="17"/>
      <c r="C33" s="18"/>
      <c r="D33" s="7"/>
      <c r="E33" s="7"/>
      <c r="F33" s="7"/>
      <c r="G33" s="19"/>
      <c r="H33" s="17"/>
      <c r="I33" s="17"/>
      <c r="J33" s="7"/>
      <c r="T33">
        <f>IF(T32=0,300,T32)</f>
        <v>80</v>
      </c>
    </row>
    <row r="34" spans="1:17" ht="12.75">
      <c r="A34" s="17"/>
      <c r="B34" s="17"/>
      <c r="C34" s="18"/>
      <c r="D34" s="33" t="s">
        <v>96</v>
      </c>
      <c r="E34" s="35"/>
      <c r="F34" s="34"/>
      <c r="G34" s="19"/>
      <c r="H34" s="17"/>
      <c r="I34" s="17"/>
      <c r="J34" s="7"/>
      <c r="Q34">
        <f>IF(Q32&lt;T33,Q32,T32)</f>
        <v>50</v>
      </c>
    </row>
    <row r="35" spans="1:10" ht="12.75">
      <c r="A35" s="17"/>
      <c r="B35" s="17"/>
      <c r="C35" s="18"/>
      <c r="D35" s="18"/>
      <c r="E35" s="7"/>
      <c r="F35" s="19"/>
      <c r="G35" s="19"/>
      <c r="H35" s="17"/>
      <c r="I35" s="17"/>
      <c r="J35" s="7"/>
    </row>
    <row r="36" spans="1:10" ht="12.75">
      <c r="A36" s="17"/>
      <c r="B36" s="17"/>
      <c r="C36" s="18"/>
      <c r="D36" s="18" t="s">
        <v>97</v>
      </c>
      <c r="E36" s="7">
        <f>Beräkning!F5+Beräkning!F6+Beräkning!F7</f>
        <v>0</v>
      </c>
      <c r="F36" s="19" t="s">
        <v>5</v>
      </c>
      <c r="G36" s="19"/>
      <c r="H36" s="17"/>
      <c r="I36" s="17"/>
      <c r="J36" s="7"/>
    </row>
    <row r="37" spans="1:10" ht="12.75">
      <c r="A37" s="17"/>
      <c r="B37" s="17"/>
      <c r="C37" s="18"/>
      <c r="D37" s="18" t="s">
        <v>98</v>
      </c>
      <c r="E37" s="8">
        <f>Beräkning!C52</f>
        <v>0</v>
      </c>
      <c r="F37" s="19" t="s">
        <v>10</v>
      </c>
      <c r="G37" s="19"/>
      <c r="H37" s="17"/>
      <c r="I37" s="17"/>
      <c r="J37" s="7"/>
    </row>
    <row r="38" spans="1:10" ht="14.25">
      <c r="A38" s="17"/>
      <c r="B38" s="17"/>
      <c r="C38" s="18"/>
      <c r="D38" s="18" t="s">
        <v>99</v>
      </c>
      <c r="E38" s="7">
        <f>Beräkning!E30</f>
        <v>80</v>
      </c>
      <c r="F38" s="50" t="s">
        <v>100</v>
      </c>
      <c r="G38" s="19"/>
      <c r="H38" s="17"/>
      <c r="I38" s="17"/>
      <c r="J38" s="7"/>
    </row>
    <row r="39" spans="1:10" ht="12.75">
      <c r="A39" s="17"/>
      <c r="B39" s="17"/>
      <c r="C39" s="18"/>
      <c r="D39" s="18" t="s">
        <v>101</v>
      </c>
      <c r="E39" s="7">
        <f>Beräkning!E33</f>
        <v>10</v>
      </c>
      <c r="F39" s="19" t="s">
        <v>30</v>
      </c>
      <c r="G39" s="19"/>
      <c r="H39" s="17"/>
      <c r="I39" s="17"/>
      <c r="J39" s="7"/>
    </row>
    <row r="40" spans="1:10" ht="12.75">
      <c r="A40" s="18"/>
      <c r="B40" s="18"/>
      <c r="C40" s="18"/>
      <c r="D40" s="18" t="s">
        <v>102</v>
      </c>
      <c r="E40" s="7">
        <f>Beräkning!E34</f>
        <v>2</v>
      </c>
      <c r="F40" s="19" t="s">
        <v>32</v>
      </c>
      <c r="G40" s="7"/>
      <c r="H40" s="18"/>
      <c r="I40" s="17"/>
      <c r="J40" s="7"/>
    </row>
    <row r="41" spans="1:10" ht="12.75">
      <c r="A41" s="18"/>
      <c r="B41" s="18"/>
      <c r="C41" s="18"/>
      <c r="D41" s="28" t="s">
        <v>103</v>
      </c>
      <c r="E41" s="53">
        <f>Beräkning!C53</f>
        <v>0</v>
      </c>
      <c r="F41" s="24" t="s">
        <v>10</v>
      </c>
      <c r="H41" s="18"/>
      <c r="I41" s="17"/>
      <c r="J41" s="7"/>
    </row>
    <row r="42" spans="1:10" ht="12.75">
      <c r="A42" s="18"/>
      <c r="B42" s="18"/>
      <c r="C42" s="18"/>
      <c r="H42" s="18"/>
      <c r="I42" s="17"/>
      <c r="J42" s="7"/>
    </row>
    <row r="43" spans="1:10" ht="12.75">
      <c r="A43" s="18"/>
      <c r="B43" s="18"/>
      <c r="C43" s="18"/>
      <c r="D43" s="49"/>
      <c r="E43" s="87"/>
      <c r="F43" s="7"/>
      <c r="H43" s="18"/>
      <c r="I43" s="17"/>
      <c r="J43" s="7"/>
    </row>
    <row r="44" spans="1:10" ht="12.75">
      <c r="A44" s="18"/>
      <c r="B44" s="18"/>
      <c r="C44" s="18"/>
      <c r="D44" s="49"/>
      <c r="E44" s="87"/>
      <c r="F44" s="7"/>
      <c r="H44" s="18"/>
      <c r="I44" s="17"/>
      <c r="J44" s="7"/>
    </row>
    <row r="45" spans="1:10" ht="12.75">
      <c r="A45" s="18"/>
      <c r="B45" s="18"/>
      <c r="C45" s="33" t="s">
        <v>159</v>
      </c>
      <c r="D45" s="35"/>
      <c r="E45" s="35"/>
      <c r="F45" s="35"/>
      <c r="G45" s="34"/>
      <c r="H45" s="18"/>
      <c r="I45" s="17"/>
      <c r="J45" s="7"/>
    </row>
    <row r="46" spans="1:10" ht="12.75">
      <c r="A46" s="18"/>
      <c r="B46" s="18"/>
      <c r="C46" s="18"/>
      <c r="D46" s="7"/>
      <c r="E46" s="7"/>
      <c r="F46" s="7"/>
      <c r="G46" s="19"/>
      <c r="H46" s="18"/>
      <c r="I46" s="17"/>
      <c r="J46" s="7"/>
    </row>
    <row r="47" spans="1:10" ht="12.75">
      <c r="A47" s="18"/>
      <c r="B47" s="18"/>
      <c r="C47" s="18" t="s">
        <v>160</v>
      </c>
      <c r="D47" s="7"/>
      <c r="E47" s="41">
        <v>12</v>
      </c>
      <c r="F47" s="7" t="s">
        <v>140</v>
      </c>
      <c r="G47" s="19"/>
      <c r="H47" s="18"/>
      <c r="I47" s="17"/>
      <c r="J47" s="7"/>
    </row>
    <row r="48" spans="1:10" ht="14.25">
      <c r="A48" s="18"/>
      <c r="B48" s="18"/>
      <c r="C48" s="18" t="s">
        <v>161</v>
      </c>
      <c r="D48" s="7"/>
      <c r="E48" s="41">
        <v>5</v>
      </c>
      <c r="F48" s="7" t="s">
        <v>90</v>
      </c>
      <c r="G48" s="19"/>
      <c r="H48" s="18"/>
      <c r="I48" s="17"/>
      <c r="J48" s="7"/>
    </row>
    <row r="49" spans="1:10" ht="12.75">
      <c r="A49" s="18"/>
      <c r="B49" s="18"/>
      <c r="C49" s="18"/>
      <c r="D49" s="7"/>
      <c r="E49" s="7"/>
      <c r="F49" s="7"/>
      <c r="G49" s="19"/>
      <c r="H49" s="18"/>
      <c r="I49" s="17"/>
      <c r="J49" s="7"/>
    </row>
    <row r="50" spans="1:10" ht="12.75">
      <c r="A50" s="28"/>
      <c r="B50" s="28"/>
      <c r="C50" s="28" t="s">
        <v>162</v>
      </c>
      <c r="D50" s="25"/>
      <c r="E50" s="88">
        <f>O21</f>
        <v>50</v>
      </c>
      <c r="F50" s="25"/>
      <c r="G50" s="24"/>
      <c r="H50" s="28"/>
      <c r="I50" s="113"/>
      <c r="J50" s="7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8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ht="12.7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ht="12.7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7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ht="12.7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ht="12.7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2.75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 ht="12.75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 ht="12.75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 ht="12.75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 ht="12.75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 ht="12.75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 ht="12.75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 ht="12.75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 ht="12.7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2.75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 ht="12.75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 ht="12.75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 ht="12.75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 ht="12.75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 ht="12.7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 ht="12.75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 ht="12.75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 ht="12.75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 ht="12.75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 ht="12.75">
      <c r="A85" s="7"/>
      <c r="B85" s="7"/>
      <c r="C85" s="7"/>
      <c r="D85" s="7"/>
      <c r="E85" s="7"/>
      <c r="F85" s="7"/>
      <c r="G85" s="7"/>
      <c r="H85" s="7"/>
      <c r="I85" s="7"/>
      <c r="J85" s="7"/>
    </row>
    <row r="86" spans="1:10" ht="12.75">
      <c r="A86" s="7"/>
      <c r="B86" s="7"/>
      <c r="C86" s="7"/>
      <c r="D86" s="7"/>
      <c r="E86" s="7"/>
      <c r="F86" s="7"/>
      <c r="G86" s="7"/>
      <c r="H86" s="7"/>
      <c r="I86" s="7"/>
      <c r="J86" s="7"/>
    </row>
    <row r="87" spans="1:10" ht="12.75">
      <c r="A87" s="7"/>
      <c r="B87" s="7"/>
      <c r="C87" s="7"/>
      <c r="D87" s="7"/>
      <c r="E87" s="7"/>
      <c r="F87" s="7"/>
      <c r="G87" s="7"/>
      <c r="H87" s="7"/>
      <c r="I87" s="7"/>
      <c r="J87" s="7"/>
    </row>
    <row r="88" spans="1:10" ht="12.75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ht="12.75">
      <c r="A89" s="7"/>
      <c r="B89" s="7"/>
      <c r="C89" s="7"/>
      <c r="D89" s="7"/>
      <c r="E89" s="7"/>
      <c r="F89" s="7"/>
      <c r="G89" s="7"/>
      <c r="H89" s="7"/>
      <c r="I89" s="7"/>
      <c r="J89" s="7"/>
    </row>
    <row r="90" spans="1:10" ht="12.75">
      <c r="A90" s="7"/>
      <c r="B90" s="7"/>
      <c r="C90" s="7"/>
      <c r="D90" s="7"/>
      <c r="E90" s="7"/>
      <c r="F90" s="7"/>
      <c r="G90" s="7"/>
      <c r="H90" s="7"/>
      <c r="I90" s="7"/>
      <c r="J90" s="7"/>
    </row>
    <row r="91" spans="1:10" ht="12.75">
      <c r="A91" s="7"/>
      <c r="B91" s="7"/>
      <c r="C91" s="7"/>
      <c r="D91" s="7"/>
      <c r="E91" s="7"/>
      <c r="F91" s="7"/>
      <c r="G91" s="7"/>
      <c r="H91" s="7"/>
      <c r="I91" s="7"/>
      <c r="J91" s="7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7"/>
    </row>
    <row r="93" spans="1:10" ht="12.75">
      <c r="A93" s="7"/>
      <c r="B93" s="7"/>
      <c r="C93" s="7"/>
      <c r="D93" s="7"/>
      <c r="E93" s="7"/>
      <c r="F93" s="7"/>
      <c r="G93" s="7"/>
      <c r="H93" s="7"/>
      <c r="I93" s="7"/>
      <c r="J93" s="7"/>
    </row>
    <row r="94" spans="1:10" ht="12.75">
      <c r="A94" s="7"/>
      <c r="B94" s="7"/>
      <c r="C94" s="7"/>
      <c r="D94" s="7"/>
      <c r="E94" s="7"/>
      <c r="F94" s="7"/>
      <c r="G94" s="7"/>
      <c r="H94" s="7"/>
      <c r="I94" s="7"/>
      <c r="J94" s="7"/>
    </row>
    <row r="95" spans="1:10" ht="12.75">
      <c r="A95" s="7"/>
      <c r="B95" s="7"/>
      <c r="C95" s="7"/>
      <c r="D95" s="7"/>
      <c r="E95" s="7"/>
      <c r="F95" s="7"/>
      <c r="G95" s="7"/>
      <c r="H95" s="7"/>
      <c r="I95" s="7"/>
      <c r="J95" s="7"/>
    </row>
    <row r="96" spans="1:10" ht="12.75">
      <c r="A96" s="7"/>
      <c r="B96" s="7"/>
      <c r="C96" s="7"/>
      <c r="D96" s="7"/>
      <c r="E96" s="7"/>
      <c r="F96" s="7"/>
      <c r="G96" s="7"/>
      <c r="H96" s="7"/>
      <c r="I96" s="7"/>
      <c r="J96" s="7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7"/>
      <c r="B98" s="7"/>
      <c r="C98" s="7"/>
      <c r="D98" s="7"/>
      <c r="E98" s="7"/>
      <c r="F98" s="7"/>
      <c r="G98" s="7"/>
      <c r="H98" s="7"/>
      <c r="I98" s="7"/>
      <c r="J98" s="7"/>
    </row>
    <row r="99" spans="1:10" ht="12.75">
      <c r="A99" s="7"/>
      <c r="B99" s="7"/>
      <c r="C99" s="7"/>
      <c r="D99" s="7"/>
      <c r="E99" s="7"/>
      <c r="F99" s="7"/>
      <c r="G99" s="7"/>
      <c r="H99" s="7"/>
      <c r="I99" s="7"/>
      <c r="J99" s="7"/>
    </row>
    <row r="100" spans="1:10" ht="12.75">
      <c r="A100" s="7"/>
      <c r="B100" s="7"/>
      <c r="C100" s="7"/>
      <c r="D100" s="7"/>
      <c r="E100" s="7"/>
      <c r="F100" s="7"/>
      <c r="G100" s="7"/>
      <c r="H100" s="7"/>
      <c r="I100" s="7"/>
      <c r="J100" s="7"/>
    </row>
    <row r="101" spans="1:10" ht="12.75">
      <c r="A101" s="7"/>
      <c r="B101" s="7"/>
      <c r="C101" s="7"/>
      <c r="D101" s="7"/>
      <c r="E101" s="7"/>
      <c r="F101" s="7"/>
      <c r="G101" s="7"/>
      <c r="H101" s="7"/>
      <c r="I101" s="7"/>
      <c r="J101" s="7"/>
    </row>
    <row r="102" spans="1:10" ht="12.75">
      <c r="A102" s="7"/>
      <c r="B102" s="7"/>
      <c r="C102" s="7"/>
      <c r="D102" s="7"/>
      <c r="E102" s="7"/>
      <c r="F102" s="7"/>
      <c r="G102" s="7"/>
      <c r="H102" s="7"/>
      <c r="I102" s="7"/>
      <c r="J102" s="7"/>
    </row>
    <row r="103" spans="1:10" ht="12.75">
      <c r="A103" s="7"/>
      <c r="B103" s="7"/>
      <c r="C103" s="7"/>
      <c r="D103" s="7"/>
      <c r="E103" s="7"/>
      <c r="F103" s="7"/>
      <c r="G103" s="7"/>
      <c r="H103" s="7"/>
      <c r="I103" s="7"/>
      <c r="J103" s="7"/>
    </row>
    <row r="104" spans="1:10" ht="12.75">
      <c r="A104" s="7"/>
      <c r="B104" s="7"/>
      <c r="C104" s="7"/>
      <c r="D104" s="7"/>
      <c r="E104" s="7"/>
      <c r="F104" s="7"/>
      <c r="G104" s="7"/>
      <c r="H104" s="7"/>
      <c r="I104" s="7"/>
      <c r="J104" s="7"/>
    </row>
    <row r="105" spans="1:10" ht="12.75">
      <c r="A105" s="7"/>
      <c r="B105" s="7"/>
      <c r="C105" s="7"/>
      <c r="D105" s="7"/>
      <c r="E105" s="7"/>
      <c r="F105" s="7"/>
      <c r="G105" s="7"/>
      <c r="H105" s="7"/>
      <c r="I105" s="7"/>
      <c r="J105" s="7"/>
    </row>
    <row r="106" spans="1:10" ht="12.75">
      <c r="A106" s="7"/>
      <c r="B106" s="7"/>
      <c r="C106" s="7"/>
      <c r="D106" s="7"/>
      <c r="E106" s="7"/>
      <c r="F106" s="7"/>
      <c r="G106" s="7"/>
      <c r="H106" s="7"/>
      <c r="I106" s="7"/>
      <c r="J106" s="7"/>
    </row>
    <row r="107" spans="1:10" ht="12.75">
      <c r="A107" s="7"/>
      <c r="B107" s="7"/>
      <c r="C107" s="7"/>
      <c r="D107" s="7"/>
      <c r="E107" s="7"/>
      <c r="F107" s="7"/>
      <c r="G107" s="7"/>
      <c r="H107" s="7"/>
      <c r="I107" s="7"/>
      <c r="J107" s="7"/>
    </row>
    <row r="108" spans="1:10" ht="12.75">
      <c r="A108" s="7"/>
      <c r="B108" s="7"/>
      <c r="C108" s="7"/>
      <c r="D108" s="7"/>
      <c r="E108" s="7"/>
      <c r="F108" s="7"/>
      <c r="G108" s="7"/>
      <c r="H108" s="7"/>
      <c r="I108" s="7"/>
      <c r="J108" s="7"/>
    </row>
    <row r="109" spans="1:10" ht="12.75">
      <c r="A109" s="7"/>
      <c r="B109" s="7"/>
      <c r="C109" s="7"/>
      <c r="D109" s="7"/>
      <c r="E109" s="7"/>
      <c r="F109" s="7"/>
      <c r="G109" s="7"/>
      <c r="H109" s="7"/>
      <c r="I109" s="7"/>
      <c r="J109" s="7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2.75">
      <c r="A111" s="7"/>
      <c r="B111" s="7"/>
      <c r="C111" s="7"/>
      <c r="D111" s="7"/>
      <c r="E111" s="7"/>
      <c r="F111" s="7"/>
      <c r="G111" s="7"/>
      <c r="H111" s="7"/>
      <c r="I111" s="7"/>
      <c r="J111" s="7"/>
    </row>
    <row r="112" spans="1:10" ht="12.75">
      <c r="A112" s="7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2.75">
      <c r="A113" s="7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2.75">
      <c r="A114" s="7"/>
      <c r="B114" s="7"/>
      <c r="C114" s="7"/>
      <c r="D114" s="7"/>
      <c r="E114" s="7"/>
      <c r="F114" s="7"/>
      <c r="G114" s="7"/>
      <c r="H114" s="7"/>
      <c r="I114" s="7"/>
      <c r="J114" s="7"/>
    </row>
    <row r="115" spans="1:10" ht="12.75">
      <c r="A115" s="7"/>
      <c r="B115" s="7"/>
      <c r="C115" s="7"/>
      <c r="D115" s="7"/>
      <c r="E115" s="7"/>
      <c r="F115" s="7"/>
      <c r="G115" s="7"/>
      <c r="H115" s="7"/>
      <c r="I115" s="7"/>
      <c r="J115" s="7"/>
    </row>
  </sheetData>
  <sheetProtection sheet="1" objects="1" scenarios="1"/>
  <printOptions/>
  <pageMargins left="0.590551181102362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  <rowBreaks count="1" manualBreakCount="1">
    <brk id="5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7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10.28125" style="0" customWidth="1"/>
    <col min="2" max="2" width="8.421875" style="0" customWidth="1"/>
    <col min="3" max="7" width="5.7109375" style="0" customWidth="1"/>
    <col min="8" max="8" width="6.8515625" style="0" customWidth="1"/>
    <col min="9" max="9" width="6.57421875" style="0" customWidth="1"/>
    <col min="10" max="11" width="5.7109375" style="0" customWidth="1"/>
  </cols>
  <sheetData>
    <row r="1" ht="12.75">
      <c r="A1" s="29">
        <v>38083</v>
      </c>
    </row>
    <row r="4" spans="1:10" ht="12.75">
      <c r="A4" s="33" t="s">
        <v>134</v>
      </c>
      <c r="B4" s="35"/>
      <c r="C4" s="35"/>
      <c r="D4" s="35"/>
      <c r="E4" s="34"/>
      <c r="F4" s="64">
        <v>1200</v>
      </c>
      <c r="G4" t="s">
        <v>5</v>
      </c>
      <c r="H4" s="63"/>
      <c r="I4" t="s">
        <v>135</v>
      </c>
      <c r="J4" s="61" t="s">
        <v>136</v>
      </c>
    </row>
    <row r="5" spans="1:7" ht="12.75">
      <c r="A5" s="18" t="s">
        <v>137</v>
      </c>
      <c r="B5" s="7"/>
      <c r="C5" s="7"/>
      <c r="D5" s="7"/>
      <c r="E5" s="19"/>
      <c r="F5" s="65">
        <v>4</v>
      </c>
      <c r="G5" t="s">
        <v>32</v>
      </c>
    </row>
    <row r="6" spans="1:7" ht="12.75">
      <c r="A6" s="18" t="s">
        <v>138</v>
      </c>
      <c r="B6" s="7"/>
      <c r="C6" s="7"/>
      <c r="D6" s="7"/>
      <c r="E6" s="19"/>
      <c r="F6" s="65">
        <v>4</v>
      </c>
      <c r="G6" t="s">
        <v>90</v>
      </c>
    </row>
    <row r="7" spans="1:7" ht="12.75">
      <c r="A7" s="28" t="s">
        <v>139</v>
      </c>
      <c r="B7" s="25"/>
      <c r="C7" s="25"/>
      <c r="D7" s="25"/>
      <c r="E7" s="24"/>
      <c r="F7" s="66">
        <v>5</v>
      </c>
      <c r="G7" t="s">
        <v>140</v>
      </c>
    </row>
    <row r="8" ht="12.75" hidden="1"/>
    <row r="9" ht="12.75" hidden="1"/>
    <row r="10" spans="6:7" ht="12.75" hidden="1">
      <c r="F10">
        <v>2</v>
      </c>
      <c r="G10">
        <v>0.019</v>
      </c>
    </row>
    <row r="11" spans="3:7" ht="12.75" hidden="1">
      <c r="C11">
        <v>2</v>
      </c>
      <c r="D11">
        <v>13.8</v>
      </c>
      <c r="F11">
        <v>7</v>
      </c>
      <c r="G11" s="55">
        <f>1/51.5</f>
        <v>0.019417475728155338</v>
      </c>
    </row>
    <row r="12" spans="3:7" ht="12.75" hidden="1">
      <c r="C12">
        <v>3</v>
      </c>
      <c r="D12">
        <v>11.3</v>
      </c>
      <c r="F12">
        <v>9</v>
      </c>
      <c r="G12" s="55">
        <f>1.4/55</f>
        <v>0.025454545454545452</v>
      </c>
    </row>
    <row r="13" spans="3:7" ht="12.75" hidden="1">
      <c r="C13">
        <v>4</v>
      </c>
      <c r="D13">
        <v>9.7</v>
      </c>
      <c r="F13">
        <v>11</v>
      </c>
      <c r="G13" s="55">
        <f>1.4/48</f>
        <v>0.029166666666666664</v>
      </c>
    </row>
    <row r="14" spans="3:7" ht="12.75" hidden="1">
      <c r="C14">
        <v>5</v>
      </c>
      <c r="D14">
        <v>8.6</v>
      </c>
      <c r="F14">
        <v>13</v>
      </c>
      <c r="G14" s="55">
        <f>1.4/43</f>
        <v>0.03255813953488372</v>
      </c>
    </row>
    <row r="15" spans="3:7" ht="12.75" hidden="1">
      <c r="C15">
        <v>6</v>
      </c>
      <c r="D15">
        <v>7.7</v>
      </c>
      <c r="F15">
        <v>15</v>
      </c>
      <c r="G15" s="55">
        <f>1.4/40</f>
        <v>0.034999999999999996</v>
      </c>
    </row>
    <row r="16" spans="3:7" ht="12.75" hidden="1">
      <c r="C16">
        <v>7</v>
      </c>
      <c r="D16" s="54">
        <v>7</v>
      </c>
      <c r="F16">
        <v>17</v>
      </c>
      <c r="G16" s="55">
        <f>1.4/37</f>
        <v>0.03783783783783783</v>
      </c>
    </row>
    <row r="17" spans="3:8" ht="12.75" hidden="1">
      <c r="C17">
        <v>8</v>
      </c>
      <c r="D17" s="54">
        <v>6.4</v>
      </c>
      <c r="G17" s="11"/>
      <c r="H17" s="11"/>
    </row>
    <row r="18" spans="3:8" ht="12.75" hidden="1">
      <c r="C18">
        <v>9</v>
      </c>
      <c r="D18" s="54">
        <v>6</v>
      </c>
      <c r="G18" s="11"/>
      <c r="H18" s="11"/>
    </row>
    <row r="19" spans="3:8" ht="12.75" hidden="1">
      <c r="C19">
        <v>10</v>
      </c>
      <c r="D19" s="54">
        <v>5.6</v>
      </c>
      <c r="G19" s="11"/>
      <c r="H19" s="11"/>
    </row>
    <row r="20" spans="4:8" ht="12.75" hidden="1">
      <c r="D20" s="11"/>
      <c r="G20" s="11"/>
      <c r="H20" s="11"/>
    </row>
    <row r="21" spans="2:8" ht="12.75" hidden="1">
      <c r="B21" t="s">
        <v>141</v>
      </c>
      <c r="C21">
        <f>VLOOKUP(F5,C11:D19,2)</f>
        <v>9.7</v>
      </c>
      <c r="D21" s="11"/>
      <c r="F21" s="55">
        <f>VLOOKUP(F5,F10:G16,2)</f>
        <v>0.019</v>
      </c>
      <c r="G21" s="11"/>
      <c r="H21" s="11"/>
    </row>
    <row r="22" spans="4:8" ht="12.75" hidden="1">
      <c r="D22" s="11"/>
      <c r="G22" s="11"/>
      <c r="H22" s="11"/>
    </row>
    <row r="23" spans="2:8" ht="12.75" hidden="1">
      <c r="B23" t="s">
        <v>142</v>
      </c>
      <c r="D23" s="54">
        <f>IF(H4=0,F4*C21/1000,H4/3600*9.7)</f>
        <v>11.64</v>
      </c>
      <c r="E23" t="s">
        <v>143</v>
      </c>
      <c r="G23" s="11"/>
      <c r="H23" s="11"/>
    </row>
    <row r="24" spans="4:8" ht="12.75" hidden="1">
      <c r="D24" s="11"/>
      <c r="G24" s="11"/>
      <c r="H24" s="11"/>
    </row>
    <row r="25" spans="2:8" ht="12.75" hidden="1">
      <c r="B25" t="s">
        <v>144</v>
      </c>
      <c r="D25" s="15">
        <f>F21*D23</f>
        <v>0.22116</v>
      </c>
      <c r="E25" t="s">
        <v>145</v>
      </c>
      <c r="G25" s="11"/>
      <c r="H25" s="11"/>
    </row>
    <row r="26" ht="12.75" hidden="1"/>
    <row r="27" ht="12.75" hidden="1"/>
    <row r="28" ht="12.75" hidden="1"/>
    <row r="29" ht="12.75" hidden="1">
      <c r="B29" t="s">
        <v>146</v>
      </c>
    </row>
    <row r="30" ht="12.75" hidden="1">
      <c r="B30" t="s">
        <v>147</v>
      </c>
    </row>
    <row r="31" ht="12.75" hidden="1">
      <c r="B31" s="56" t="s">
        <v>148</v>
      </c>
    </row>
    <row r="32" spans="2:11" ht="12.75" hidden="1">
      <c r="B32" t="s">
        <v>149</v>
      </c>
      <c r="C32">
        <v>100</v>
      </c>
      <c r="D32">
        <v>150</v>
      </c>
      <c r="E32">
        <v>200</v>
      </c>
      <c r="F32">
        <v>250</v>
      </c>
      <c r="G32">
        <v>300</v>
      </c>
      <c r="H32">
        <v>400</v>
      </c>
      <c r="I32">
        <v>500</v>
      </c>
      <c r="J32">
        <v>600</v>
      </c>
      <c r="K32">
        <v>700</v>
      </c>
    </row>
    <row r="33" spans="2:4" ht="12.75" hidden="1">
      <c r="B33" s="15">
        <v>0.05</v>
      </c>
      <c r="C33">
        <f>IF($D$25&lt;0.05,55,"")</f>
      </c>
      <c r="D33">
        <f>IF($D$25&lt;0.05,23,"")</f>
      </c>
    </row>
    <row r="34" spans="2:5" ht="12.75" hidden="1">
      <c r="B34" s="15">
        <v>0.1</v>
      </c>
      <c r="C34">
        <f>IF($D$25&lt;0.1,107,"")</f>
      </c>
      <c r="D34">
        <f>IF($D$25&lt;0.1,46,"")</f>
      </c>
      <c r="E34">
        <f>IF($D$25&lt;0.1,26,"")</f>
      </c>
    </row>
    <row r="35" spans="2:7" ht="12.75" hidden="1">
      <c r="B35" s="15">
        <v>0.2</v>
      </c>
      <c r="D35">
        <f>IF($D$25&lt;0.2,95,"")</f>
      </c>
      <c r="E35">
        <f>IF($D$25&lt;0.2,53,"")</f>
      </c>
      <c r="F35">
        <f>IF($D$25&lt;0.2,35,"")</f>
      </c>
      <c r="G35">
        <f>IF($D$25&lt;0.2,24,"")</f>
      </c>
    </row>
    <row r="36" spans="2:8" ht="12.75" hidden="1">
      <c r="B36" s="15">
        <v>0.4</v>
      </c>
      <c r="E36">
        <f>IF($D$25&lt;0.4,106,"")</f>
        <v>106</v>
      </c>
      <c r="F36">
        <f>IF($D$25&lt;0.4,67,"")</f>
        <v>67</v>
      </c>
      <c r="G36">
        <f>IF($D$25&lt;0.4,47,"")</f>
        <v>47</v>
      </c>
      <c r="H36">
        <f>IF($D$25&lt;0.4,27,"")</f>
        <v>27</v>
      </c>
    </row>
    <row r="37" spans="2:9" ht="12.75" hidden="1">
      <c r="B37" s="15">
        <v>0.6</v>
      </c>
      <c r="F37">
        <f>IF($D$25&lt;0.6,102,"")</f>
        <v>102</v>
      </c>
      <c r="G37">
        <f>IF($D$25&lt;0.6,71,"")</f>
        <v>71</v>
      </c>
      <c r="H37">
        <f>IF($D$25&lt;0.6,40,"")</f>
        <v>40</v>
      </c>
      <c r="I37">
        <f>IF($D$25&lt;0.6,26,"")</f>
        <v>26</v>
      </c>
    </row>
    <row r="38" spans="2:10" ht="12.75" hidden="1">
      <c r="B38" s="15">
        <v>0.8</v>
      </c>
      <c r="G38">
        <f>IF($D$25&lt;0.8,95,"")</f>
        <v>95</v>
      </c>
      <c r="H38">
        <f>IF($D$25&lt;0.8,53,"")</f>
        <v>53</v>
      </c>
      <c r="I38">
        <f>IF($D$25&lt;0.8,34,"")</f>
        <v>34</v>
      </c>
      <c r="J38">
        <f>IF($D$25&lt;0.8,24,"")</f>
        <v>24</v>
      </c>
    </row>
    <row r="39" spans="2:11" ht="12.75" hidden="1">
      <c r="B39" s="15">
        <v>1</v>
      </c>
      <c r="G39">
        <f>IF($D$25&lt;1,118,"")</f>
        <v>118</v>
      </c>
      <c r="H39">
        <f>IF($D$25&lt;1,67,"")</f>
        <v>67</v>
      </c>
      <c r="I39">
        <f>IF($D$25&lt;1,42,"")</f>
        <v>42</v>
      </c>
      <c r="J39">
        <f>IF($D$25&lt;1,29,"")</f>
        <v>29</v>
      </c>
      <c r="K39">
        <f>IF($D$25&lt;1,22,"")</f>
        <v>22</v>
      </c>
    </row>
    <row r="40" spans="3:11" ht="12.75" hidden="1">
      <c r="C40">
        <f>MIN(C33:C39)</f>
        <v>0</v>
      </c>
      <c r="D40">
        <f aca="true" t="shared" si="0" ref="D40:K40">MIN(D33:D39)</f>
        <v>0</v>
      </c>
      <c r="E40">
        <f t="shared" si="0"/>
        <v>106</v>
      </c>
      <c r="F40">
        <f t="shared" si="0"/>
        <v>67</v>
      </c>
      <c r="G40">
        <f t="shared" si="0"/>
        <v>47</v>
      </c>
      <c r="H40">
        <f t="shared" si="0"/>
        <v>27</v>
      </c>
      <c r="I40">
        <f t="shared" si="0"/>
        <v>26</v>
      </c>
      <c r="J40">
        <f t="shared" si="0"/>
        <v>24</v>
      </c>
      <c r="K40">
        <f t="shared" si="0"/>
        <v>22</v>
      </c>
    </row>
    <row r="41" ht="12.75" hidden="1"/>
    <row r="42" spans="2:11" ht="12.75" hidden="1">
      <c r="B42" t="s">
        <v>150</v>
      </c>
      <c r="C42" s="11">
        <f>((1.5+$F$6*0.5)*C32/1000/0.02+$F$7)/C32*1000</f>
        <v>225</v>
      </c>
      <c r="D42" s="11">
        <f aca="true" t="shared" si="1" ref="D42:K42">((1.5+$F$6*0.5)*D32/1000/0.02+$F$7)/D32*1000</f>
        <v>208.33333333333334</v>
      </c>
      <c r="E42" s="11">
        <f t="shared" si="1"/>
        <v>200</v>
      </c>
      <c r="F42" s="11">
        <f t="shared" si="1"/>
        <v>195</v>
      </c>
      <c r="G42" s="11">
        <f t="shared" si="1"/>
        <v>191.66666666666669</v>
      </c>
      <c r="H42" s="11">
        <f t="shared" si="1"/>
        <v>187.5</v>
      </c>
      <c r="I42" s="11">
        <f t="shared" si="1"/>
        <v>185</v>
      </c>
      <c r="J42" s="11">
        <f t="shared" si="1"/>
        <v>183.33333333333331</v>
      </c>
      <c r="K42" s="11">
        <f t="shared" si="1"/>
        <v>182.14285714285714</v>
      </c>
    </row>
    <row r="43" ht="12.75" hidden="1"/>
    <row r="44" spans="3:4" s="2" customFormat="1" ht="12.75" hidden="1">
      <c r="C44" s="2">
        <v>55</v>
      </c>
      <c r="D44" s="2">
        <v>23</v>
      </c>
    </row>
    <row r="45" spans="3:4" ht="12.75" hidden="1">
      <c r="C45">
        <f>IF(C42&lt;270,500,"")</f>
        <v>500</v>
      </c>
      <c r="D45">
        <f>IF(D42&lt;1000,250,"")</f>
        <v>250</v>
      </c>
    </row>
    <row r="46" spans="3:4" ht="12.75" hidden="1">
      <c r="C46">
        <f>IF(C42&lt;250,400,"")</f>
        <v>400</v>
      </c>
      <c r="D46">
        <f>IF(D42&lt;750,200,"")</f>
        <v>200</v>
      </c>
    </row>
    <row r="47" ht="12.75" hidden="1">
      <c r="C47">
        <f>IF(C42&lt;180,300,"")</f>
      </c>
    </row>
    <row r="48" ht="12.75" hidden="1">
      <c r="C48">
        <f>IF(C42&lt;150,250,"")</f>
      </c>
    </row>
    <row r="49" ht="12.75" hidden="1">
      <c r="C49">
        <f>IF(C42&lt;120,200,"")</f>
      </c>
    </row>
    <row r="50" spans="3:4" ht="12.75" hidden="1">
      <c r="C50">
        <f>IF(C40=55,MIN(C45:C49),"")</f>
      </c>
      <c r="D50">
        <f>IF(D40=23,MIN(D45:D49),"")</f>
      </c>
    </row>
    <row r="51" spans="3:5" ht="12.75" hidden="1">
      <c r="C51" s="2">
        <v>107</v>
      </c>
      <c r="D51" s="2">
        <v>46</v>
      </c>
      <c r="E51" s="2">
        <v>26</v>
      </c>
    </row>
    <row r="52" spans="3:5" ht="12.75" hidden="1">
      <c r="C52">
        <f>IF(C42&lt;75,500,"")</f>
      </c>
      <c r="D52">
        <f>IF(D42&lt;410,500,"")</f>
        <v>500</v>
      </c>
      <c r="E52">
        <f>IF(E42&lt;1300,500,"")</f>
        <v>500</v>
      </c>
    </row>
    <row r="53" spans="3:5" ht="12.75" hidden="1">
      <c r="C53">
        <f>IF(C42&lt;65,400,"")</f>
      </c>
      <c r="D53">
        <f>IF(D42&lt;350,400,"")</f>
        <v>400</v>
      </c>
      <c r="E53">
        <f>IF(E42&lt;1100,400,"")</f>
        <v>400</v>
      </c>
    </row>
    <row r="54" spans="3:5" ht="12.75" hidden="1">
      <c r="C54">
        <f>IF(C42&lt;50,300,"")</f>
      </c>
      <c r="D54">
        <f>IF(D42&lt;250,300,"")</f>
        <v>300</v>
      </c>
      <c r="E54">
        <f>IF(E42&lt;900,300,"")</f>
        <v>300</v>
      </c>
    </row>
    <row r="55" spans="3:5" ht="12.75" hidden="1">
      <c r="C55">
        <f>IF(C42&lt;40,250,"")</f>
      </c>
      <c r="D55">
        <f>IF(D42&lt;200,250,"")</f>
      </c>
      <c r="E55">
        <f>IF(E42&lt;750,250,"")</f>
        <v>250</v>
      </c>
    </row>
    <row r="56" spans="3:5" ht="12.75" hidden="1">
      <c r="C56">
        <f>IF(C42&lt;30,200,"")</f>
      </c>
      <c r="D56">
        <f>IF(D42&lt;180,200,"")</f>
      </c>
      <c r="E56">
        <f>IF(E42&lt;500,200,"")</f>
        <v>200</v>
      </c>
    </row>
    <row r="57" spans="3:5" ht="12.75" hidden="1">
      <c r="C57">
        <f>IF(C40=107,MIN(C52:C56),"")</f>
      </c>
      <c r="D57">
        <f>IF(D40=46,MIN(D52:D56),"")</f>
      </c>
      <c r="E57">
        <f>IF(E40=26,MIN(E52:E56),"")</f>
      </c>
    </row>
    <row r="58" spans="4:7" ht="12.75" hidden="1">
      <c r="D58" s="2">
        <v>95</v>
      </c>
      <c r="E58" s="2">
        <v>53</v>
      </c>
      <c r="F58" s="2">
        <v>35</v>
      </c>
      <c r="G58" s="2">
        <v>24</v>
      </c>
    </row>
    <row r="59" spans="4:7" ht="12.75" hidden="1">
      <c r="D59">
        <f>IF(D42&lt;95,500,"")</f>
      </c>
      <c r="E59">
        <f>IF(E42&lt;300,500,"")</f>
        <v>500</v>
      </c>
      <c r="F59">
        <f>IF(F42&lt;700,500,"")</f>
        <v>500</v>
      </c>
      <c r="G59">
        <f>IF(G42&lt;1300,500,"")</f>
        <v>500</v>
      </c>
    </row>
    <row r="60" spans="4:7" ht="12.75" hidden="1">
      <c r="D60">
        <f>IF(D42&lt;80,400,"")</f>
      </c>
      <c r="E60">
        <f>IF(E42&lt;250,400,"")</f>
        <v>400</v>
      </c>
      <c r="F60">
        <f>IF(F42&lt;550,400,"")</f>
        <v>400</v>
      </c>
      <c r="G60">
        <f>IF(G42&lt;1100,400,"")</f>
        <v>400</v>
      </c>
    </row>
    <row r="61" spans="4:7" ht="12.75" hidden="1">
      <c r="D61">
        <f>IF(D42&lt;60,300,"")</f>
      </c>
      <c r="E61">
        <f>IF(E42&lt;200,300,"")</f>
      </c>
      <c r="F61">
        <f>IF(F42&lt;490,300,"")</f>
        <v>300</v>
      </c>
      <c r="G61">
        <f>IF(G42&lt;750,300,"")</f>
        <v>300</v>
      </c>
    </row>
    <row r="62" spans="4:7" ht="12.75" hidden="1">
      <c r="D62">
        <f>IF(D42&lt;50,250,"")</f>
      </c>
      <c r="E62">
        <f>IF(E42&lt;170,250,"")</f>
      </c>
      <c r="F62">
        <f>IF(F42&lt;390,250,"")</f>
        <v>250</v>
      </c>
      <c r="G62">
        <f>IF(G42&lt;800,250,"")</f>
        <v>250</v>
      </c>
    </row>
    <row r="63" spans="4:7" ht="12.75" hidden="1">
      <c r="D63">
        <f>IF(D42&lt;45,200,"")</f>
      </c>
      <c r="E63">
        <f>IF(E42&lt;130,200,"")</f>
      </c>
      <c r="F63">
        <f>IF(F42&lt;290,200,"")</f>
        <v>200</v>
      </c>
      <c r="G63">
        <f>IF(G42&lt;650,200,"")</f>
        <v>200</v>
      </c>
    </row>
    <row r="64" spans="4:7" ht="12.75" hidden="1">
      <c r="D64">
        <f>IF(D40=95,MIN(D59:D63),"")</f>
      </c>
      <c r="E64">
        <f>IF(E40=53,MIN(E59:E63),"")</f>
      </c>
      <c r="F64">
        <f>IF(F40=35,MIN(F59:F63),"")</f>
      </c>
      <c r="G64">
        <f>IF(G40=24,MIN(G59:G63),"")</f>
      </c>
    </row>
    <row r="65" spans="5:8" ht="12.75" hidden="1">
      <c r="E65" s="2">
        <v>106</v>
      </c>
      <c r="F65" s="2">
        <v>67</v>
      </c>
      <c r="G65" s="2">
        <v>47</v>
      </c>
      <c r="H65" s="2">
        <v>27</v>
      </c>
    </row>
    <row r="66" spans="5:8" ht="12.75" hidden="1">
      <c r="E66">
        <f>IF(E42&lt;80,500,"")</f>
      </c>
      <c r="F66">
        <f>IF(F42&lt;190,500,"")</f>
      </c>
      <c r="G66">
        <f>IF(G42&lt;400,500,"")</f>
        <v>500</v>
      </c>
      <c r="H66">
        <f>IF(H42&lt;1100,500,"")</f>
        <v>500</v>
      </c>
    </row>
    <row r="67" spans="5:8" ht="12.75" hidden="1">
      <c r="E67">
        <f>IF(E42&lt;65,400,"")</f>
      </c>
      <c r="F67">
        <f>IF(F42&lt;160,400,"")</f>
      </c>
      <c r="G67">
        <f>IF(G42&lt;310,400,"")</f>
        <v>400</v>
      </c>
      <c r="H67">
        <f>IF(H42&lt;1000,400,"")</f>
        <v>400</v>
      </c>
    </row>
    <row r="68" spans="5:8" ht="12.75" hidden="1">
      <c r="E68">
        <f>IF(E42&lt;55,300,"")</f>
      </c>
      <c r="F68">
        <f>IF(F42&lt;120,300,"")</f>
      </c>
      <c r="G68">
        <f>IF(G42&lt;260,300,"")</f>
        <v>300</v>
      </c>
      <c r="H68">
        <f>IF(H42&lt;760,300,"")</f>
        <v>300</v>
      </c>
    </row>
    <row r="69" spans="5:8" ht="12.75" hidden="1">
      <c r="E69">
        <f>IF(E42&lt;45,250,"")</f>
      </c>
      <c r="F69">
        <f>IF(F42&lt;100,250,"")</f>
      </c>
      <c r="G69">
        <f>IF(G42&lt;200,250,"")</f>
        <v>250</v>
      </c>
      <c r="H69">
        <f>IF(H42&lt;550,250,"")</f>
        <v>250</v>
      </c>
    </row>
    <row r="70" spans="5:8" ht="12.75" hidden="1">
      <c r="E70">
        <f>IF(E42&lt;32,200,"")</f>
      </c>
      <c r="F70">
        <f>IF(F42&lt;76,200,"")</f>
      </c>
      <c r="G70">
        <f>IF(G42&lt;170,200,"")</f>
      </c>
      <c r="H70">
        <f>IF(H42&lt;450,200,"")</f>
        <v>200</v>
      </c>
    </row>
    <row r="71" spans="5:8" ht="12.75" hidden="1">
      <c r="E71">
        <f>IF(E40=106,MIN(E66:E70),"")</f>
        <v>0</v>
      </c>
      <c r="F71">
        <f>IF(F40=67,MIN(F66:F70),"")</f>
        <v>0</v>
      </c>
      <c r="G71">
        <f>IF(G40=47,MIN(G66:G70),"")</f>
        <v>250</v>
      </c>
      <c r="H71">
        <f>IF(H40=27,MIN(H66:H70),"")</f>
        <v>200</v>
      </c>
    </row>
    <row r="72" spans="6:9" ht="12.75" hidden="1">
      <c r="F72" s="2">
        <v>102</v>
      </c>
      <c r="G72" s="2">
        <v>71</v>
      </c>
      <c r="H72" s="2">
        <v>40</v>
      </c>
      <c r="I72" s="2">
        <v>26</v>
      </c>
    </row>
    <row r="73" spans="6:9" ht="12.75" hidden="1">
      <c r="F73">
        <f>IF(F42&lt;85,500,"")</f>
      </c>
      <c r="G73">
        <f>IF(G42&lt;180,500,"")</f>
      </c>
      <c r="H73">
        <f>IF(H42&lt;550,500,"")</f>
        <v>500</v>
      </c>
      <c r="I73">
        <f>IF(I42&lt;1200,500,"")</f>
        <v>500</v>
      </c>
    </row>
    <row r="74" spans="6:9" ht="12.75" hidden="1">
      <c r="F74">
        <f>IF(F42&lt;70,400,"")</f>
      </c>
      <c r="G74">
        <f>IF(G42&lt;150,400,"")</f>
      </c>
      <c r="H74">
        <f>IF(H42&lt;450,400,"")</f>
        <v>400</v>
      </c>
      <c r="I74">
        <f>IF(I42&lt;1050,400,"")</f>
        <v>400</v>
      </c>
    </row>
    <row r="75" spans="6:9" ht="12.75" hidden="1">
      <c r="F75">
        <f>IF(F42&lt;60,300,"")</f>
      </c>
      <c r="G75">
        <f>IF(G42&lt;110,300,"")</f>
      </c>
      <c r="H75">
        <f>IF(H42&lt;350,300,"")</f>
        <v>300</v>
      </c>
      <c r="I75">
        <f>IF(I42&lt;800,300,"")</f>
        <v>300</v>
      </c>
    </row>
    <row r="76" spans="6:9" ht="12.75" hidden="1">
      <c r="F76">
        <f>IF(F42&lt;45,250,"")</f>
      </c>
      <c r="G76">
        <f>IF(G42&lt;90,250,"")</f>
      </c>
      <c r="H76">
        <f>IF(H42&lt;260,250,"")</f>
        <v>250</v>
      </c>
      <c r="I76">
        <f>IF(I42&lt;600,250,"")</f>
        <v>250</v>
      </c>
    </row>
    <row r="77" spans="6:9" ht="12.75" hidden="1">
      <c r="F77">
        <f>IF(F42&lt;35,200,"")</f>
      </c>
      <c r="G77">
        <f>IF(G42&lt;70,200,"")</f>
      </c>
      <c r="H77">
        <f>IF(H42&lt;210,200,"")</f>
        <v>200</v>
      </c>
      <c r="I77">
        <f>IF(I42&lt;500,200,"")</f>
        <v>200</v>
      </c>
    </row>
    <row r="78" spans="6:9" ht="12.75" hidden="1">
      <c r="F78">
        <f>IF(F40=102,MIN(F73:F77),"")</f>
      </c>
      <c r="G78">
        <f>IF(G40=71,MIN(G73:G77),"")</f>
      </c>
      <c r="H78">
        <f>IF(H40=40,MIN(H73:H77),"")</f>
      </c>
      <c r="I78">
        <f>IF(I40=26,MIN(I73:I77),"")</f>
        <v>200</v>
      </c>
    </row>
    <row r="79" spans="7:10" ht="12.75" hidden="1">
      <c r="G79" s="2">
        <f>IF($D$25&lt;0.8,95,"")</f>
        <v>95</v>
      </c>
      <c r="H79" s="2">
        <f>IF($D$25&lt;0.8,53,"")</f>
        <v>53</v>
      </c>
      <c r="I79" s="2">
        <f>IF($D$25&lt;0.8,34,"")</f>
        <v>34</v>
      </c>
      <c r="J79" s="2">
        <f>IF($D$25&lt;0.8,24,"")</f>
        <v>24</v>
      </c>
    </row>
    <row r="80" spans="7:10" ht="12.75" hidden="1">
      <c r="G80">
        <f>IF(G42&lt;90,500,"")</f>
      </c>
      <c r="H80">
        <f>IF(H42&lt;300,500,"")</f>
        <v>500</v>
      </c>
      <c r="I80">
        <f>IF(I42&lt;750,500,"")</f>
        <v>500</v>
      </c>
      <c r="J80">
        <f>IF(J42&lt;1200,500,"")</f>
        <v>500</v>
      </c>
    </row>
    <row r="81" spans="7:10" ht="12.75" hidden="1">
      <c r="G81">
        <f>IF(G42&lt;80,400,"")</f>
      </c>
      <c r="H81">
        <f>IF(H42&lt;250,400,"")</f>
        <v>400</v>
      </c>
      <c r="I81">
        <f>IF(I42&lt;620,400,"")</f>
        <v>400</v>
      </c>
      <c r="J81">
        <f>IF(J42&lt;1100,400,"")</f>
        <v>400</v>
      </c>
    </row>
    <row r="82" spans="7:10" ht="12.75" hidden="1">
      <c r="G82">
        <f>IF(G42&lt;65,300,"")</f>
      </c>
      <c r="H82">
        <f>IF(H42&lt;200,300,"")</f>
        <v>300</v>
      </c>
      <c r="I82">
        <f>IF(I42&lt;480,300,"")</f>
        <v>300</v>
      </c>
      <c r="J82">
        <f>IF(J42&lt;1000,300,"")</f>
        <v>300</v>
      </c>
    </row>
    <row r="83" spans="7:10" ht="12.75" hidden="1">
      <c r="G83">
        <f>IF(G42&lt;50,250,"")</f>
      </c>
      <c r="H83">
        <f>IF(H42&lt;160,250,"")</f>
      </c>
      <c r="I83">
        <f>IF(I42&lt;400,250,"")</f>
        <v>250</v>
      </c>
      <c r="J83">
        <f>IF(J42&lt;800,250,"")</f>
        <v>250</v>
      </c>
    </row>
    <row r="84" spans="7:10" ht="12.75" hidden="1">
      <c r="G84">
        <f>IF(G42&lt;42,200,"")</f>
      </c>
      <c r="H84">
        <f>IF(H42&lt;130,200,"")</f>
      </c>
      <c r="I84">
        <f>IF(I42&lt;300,200,"")</f>
        <v>200</v>
      </c>
      <c r="J84">
        <f>IF(J42&lt;650,200,"")</f>
        <v>200</v>
      </c>
    </row>
    <row r="85" spans="7:10" ht="12.75" hidden="1">
      <c r="G85">
        <f>IF(G40=95,MIN(G80:G84),"")</f>
      </c>
      <c r="H85">
        <f>IF(H40=53,MIN(H80:H84),"")</f>
      </c>
      <c r="I85">
        <f>IF(I40=34,MIN(I80:I84),"")</f>
      </c>
      <c r="J85">
        <f>IF(J40=24,MIN(J80:J84),"")</f>
        <v>200</v>
      </c>
    </row>
    <row r="86" spans="7:11" ht="12.75" hidden="1">
      <c r="G86" s="2">
        <f>IF($D$25&lt;1,118,"")</f>
        <v>118</v>
      </c>
      <c r="H86" s="2">
        <f>IF($D$25&lt;1,67,"")</f>
        <v>67</v>
      </c>
      <c r="I86" s="2">
        <f>IF($D$25&lt;1,42,"")</f>
        <v>42</v>
      </c>
      <c r="J86" s="2">
        <f>IF($D$25&lt;1,29,"")</f>
        <v>29</v>
      </c>
      <c r="K86" s="2">
        <v>22</v>
      </c>
    </row>
    <row r="87" spans="7:11" ht="12.75" hidden="1">
      <c r="G87">
        <f>IF(G42&lt;62,500,"")</f>
      </c>
      <c r="H87">
        <f>IF(H42&lt;190,500,"")</f>
        <v>500</v>
      </c>
      <c r="I87">
        <f>IF(I42&lt;500,500,"")</f>
        <v>500</v>
      </c>
      <c r="J87">
        <f>IF(J42&lt;1000,500,"")</f>
        <v>500</v>
      </c>
      <c r="K87">
        <f>IF(K42&lt;1300,500,"")</f>
        <v>500</v>
      </c>
    </row>
    <row r="88" spans="7:11" ht="12.75" hidden="1">
      <c r="G88">
        <f>IF(G42&lt;55,400,"")</f>
      </c>
      <c r="H88">
        <f>IF(H42&lt;170,400,"")</f>
      </c>
      <c r="I88">
        <f>IF(I42&lt;410,400,"")</f>
        <v>400</v>
      </c>
      <c r="J88">
        <f>IF(J42&lt;800,400,"")</f>
        <v>400</v>
      </c>
      <c r="K88">
        <f>IF(K42&lt;1200,400,"")</f>
        <v>400</v>
      </c>
    </row>
    <row r="89" spans="7:11" ht="12.75" hidden="1">
      <c r="G89">
        <f>IF(G42&lt;40,300,"")</f>
      </c>
      <c r="H89">
        <f>IF(H42&lt;65,120,"")</f>
      </c>
      <c r="I89">
        <f>IF(I42&lt;310,300,"")</f>
        <v>300</v>
      </c>
      <c r="J89">
        <f>IF(J42&lt;650,300,"")</f>
        <v>300</v>
      </c>
      <c r="K89">
        <f>IF(K42&lt;1100,300,"")</f>
        <v>300</v>
      </c>
    </row>
    <row r="90" spans="7:11" ht="12.75" hidden="1">
      <c r="G90">
        <f>IF(G42&lt;30,250,"")</f>
      </c>
      <c r="H90">
        <f>IF(H42&lt;100,250,"")</f>
      </c>
      <c r="I90">
        <f>IF(I42&lt;260,250,"")</f>
        <v>250</v>
      </c>
      <c r="J90">
        <f>IF(J42&lt;500,250,"")</f>
        <v>250</v>
      </c>
      <c r="K90">
        <f>IF(K42&lt;950,250,"")</f>
        <v>250</v>
      </c>
    </row>
    <row r="91" spans="7:11" ht="12.75" hidden="1">
      <c r="G91">
        <f>IF(G42&lt;25,200,"")</f>
      </c>
      <c r="H91">
        <f>IF(H42&lt;75,200,"")</f>
      </c>
      <c r="I91">
        <f>IF(I42&lt;200,200,"")</f>
        <v>200</v>
      </c>
      <c r="J91">
        <f>IF(J42&lt;400,200,"")</f>
        <v>200</v>
      </c>
      <c r="K91">
        <f>IF(K42&lt;750,200,"")</f>
        <v>200</v>
      </c>
    </row>
    <row r="92" spans="7:11" ht="12.75" hidden="1">
      <c r="G92">
        <f>IF(G40=118,MIN(G87:G91),"")</f>
      </c>
      <c r="H92">
        <f>IF(H40=67,MIN(H87:H91),"")</f>
      </c>
      <c r="I92">
        <f>IF(I40=42,MIN(I87:I91),"")</f>
      </c>
      <c r="J92">
        <f>IF(J40=29,MIN(J87:J91),"")</f>
      </c>
      <c r="K92">
        <f>IF(K40=22,MIN(K87:K91),"")</f>
        <v>200</v>
      </c>
    </row>
    <row r="93" ht="12.75" hidden="1"/>
    <row r="94" spans="2:11" ht="12.75" hidden="1">
      <c r="B94" t="s">
        <v>151</v>
      </c>
      <c r="C94">
        <v>100</v>
      </c>
      <c r="D94">
        <v>150</v>
      </c>
      <c r="E94">
        <v>200</v>
      </c>
      <c r="F94">
        <v>250</v>
      </c>
      <c r="G94">
        <v>300</v>
      </c>
      <c r="H94">
        <v>400</v>
      </c>
      <c r="I94">
        <v>500</v>
      </c>
      <c r="J94">
        <v>600</v>
      </c>
      <c r="K94">
        <v>700</v>
      </c>
    </row>
    <row r="95" spans="2:4" ht="12.75" hidden="1">
      <c r="B95">
        <f>IF(D25&lt;0.05,50,"")</f>
      </c>
      <c r="C95">
        <f>IF(C50&gt;0,C50,"")</f>
      </c>
      <c r="D95">
        <f>IF(D50&gt;0,D50,"")</f>
      </c>
    </row>
    <row r="96" spans="2:5" ht="12.75" hidden="1">
      <c r="B96">
        <f>IF(D25&lt;0.1,100,"")</f>
      </c>
      <c r="C96">
        <f>IF(C57&gt;0,C57,"")</f>
      </c>
      <c r="D96">
        <f>IF(D57&gt;0,D57,"")</f>
      </c>
      <c r="E96">
        <f>IF(E57&gt;0,E57,"")</f>
      </c>
    </row>
    <row r="97" spans="2:7" ht="12.75" hidden="1">
      <c r="B97">
        <f>IF(D25&lt;0.2,200,"")</f>
      </c>
      <c r="D97">
        <f>IF(D64&gt;0,D64,"")</f>
      </c>
      <c r="E97">
        <f>IF(E64&gt;0,E64,"")</f>
      </c>
      <c r="F97">
        <f>IF(F64&gt;0,F64,"")</f>
      </c>
      <c r="G97">
        <f>IF(G64&gt;0,G64,"")</f>
      </c>
    </row>
    <row r="98" spans="2:8" ht="12.75" hidden="1">
      <c r="B98">
        <f>IF(D25&lt;0.4,400,"")</f>
        <v>400</v>
      </c>
      <c r="E98">
        <f>IF(E71&gt;0,E71,"")</f>
      </c>
      <c r="F98">
        <f>IF(F71&gt;0,F71,"")</f>
      </c>
      <c r="G98">
        <f>IF(G71&gt;0,G71,"")</f>
        <v>250</v>
      </c>
      <c r="H98">
        <f>IF(H71&gt;0,H71,"")</f>
        <v>200</v>
      </c>
    </row>
    <row r="99" spans="2:9" ht="12.75" hidden="1">
      <c r="B99">
        <f>IF(D25&lt;0.6,600,"")</f>
        <v>600</v>
      </c>
      <c r="F99">
        <f>IF(F78&gt;0,F78,"")</f>
      </c>
      <c r="G99">
        <f>IF(G78&gt;0,G78,"")</f>
      </c>
      <c r="H99">
        <f>IF(H78&gt;0,H78,"")</f>
      </c>
      <c r="I99">
        <f>IF(I78&gt;0,I78,"")</f>
        <v>200</v>
      </c>
    </row>
    <row r="100" spans="2:10" ht="12.75" hidden="1">
      <c r="B100">
        <f>IF(D25&lt;0.8,800,"")</f>
        <v>800</v>
      </c>
      <c r="G100">
        <f>IF(G85&gt;0,G85,"")</f>
      </c>
      <c r="H100">
        <f>IF(H85&gt;0,H85,"")</f>
      </c>
      <c r="I100">
        <f>IF(I85&gt;0,I85,"")</f>
      </c>
      <c r="J100">
        <f>IF(J85&gt;0,J85,"")</f>
        <v>200</v>
      </c>
    </row>
    <row r="101" spans="2:11" ht="12.75" hidden="1">
      <c r="B101">
        <f>IF(D25&lt;1,1000,"")</f>
        <v>1000</v>
      </c>
      <c r="G101">
        <f>IF(G92&gt;0,G92,"")</f>
      </c>
      <c r="H101">
        <f>IF(H92&gt;0,H92,"")</f>
      </c>
      <c r="I101">
        <f>IF(I92&gt;0,I92,"")</f>
      </c>
      <c r="J101">
        <f>IF(J92&gt;0,J92,"")</f>
      </c>
      <c r="K101">
        <f>IF(K92&gt;0,K92,"")</f>
        <v>200</v>
      </c>
    </row>
    <row r="102" ht="12.75" hidden="1"/>
    <row r="103" spans="2:4" ht="12.75" hidden="1">
      <c r="B103">
        <f>IF(D25&lt;0.05,50,"")</f>
      </c>
      <c r="C103">
        <f>IF(B103=$B$111,C95,"")</f>
      </c>
      <c r="D103">
        <f>IF(B103=$B$111,D95,"")</f>
      </c>
    </row>
    <row r="104" spans="2:5" ht="12.75" hidden="1">
      <c r="B104">
        <f>IF(D25&lt;0.1,100,"")</f>
      </c>
      <c r="C104">
        <f>IF(B104=$B$111,C96,"")</f>
      </c>
      <c r="D104">
        <f>IF(B104=$B$111,D96,"")</f>
      </c>
      <c r="E104">
        <f>IF(B104=$B$111,E96,"")</f>
      </c>
    </row>
    <row r="105" spans="2:7" ht="12.75" hidden="1">
      <c r="B105">
        <f>IF(D25&lt;0.2,200,"")</f>
      </c>
      <c r="D105">
        <f>IF(B105=$B$111,D97,"")</f>
      </c>
      <c r="E105">
        <f>IF(B105=$B$111,E97,"")</f>
      </c>
      <c r="F105">
        <f>IF(B105=$B$111,F97,"")</f>
      </c>
      <c r="G105">
        <f>IF(B105=$B$111,G97,"")</f>
      </c>
    </row>
    <row r="106" spans="2:8" ht="12.75" hidden="1">
      <c r="B106">
        <f>IF(D25&lt;0.4,400,"")</f>
        <v>400</v>
      </c>
      <c r="E106">
        <f>IF(B106=$B$111,E98,"")</f>
      </c>
      <c r="F106">
        <f>IF(B106=$B$111,F98,"")</f>
      </c>
      <c r="G106">
        <f>IF(B106=$B$111,G98,"")</f>
        <v>250</v>
      </c>
      <c r="H106">
        <f>IF(B106=$B$111,H98,"")</f>
        <v>200</v>
      </c>
    </row>
    <row r="107" spans="2:9" ht="12.75" hidden="1">
      <c r="B107">
        <f>IF(D25&lt;0.6,600,"")</f>
        <v>600</v>
      </c>
      <c r="F107">
        <f>IF(B107=$B$111,F99,"")</f>
      </c>
      <c r="G107">
        <f>IF(B107=$B$111,G99,"")</f>
      </c>
      <c r="H107">
        <f>IF(B107=$B$111,H99,"")</f>
      </c>
      <c r="I107">
        <f>IF(B107=$B$111,I99,"")</f>
      </c>
    </row>
    <row r="108" spans="2:10" ht="12.75" hidden="1">
      <c r="B108">
        <f>IF(D25&lt;0.8,800,"")</f>
        <v>800</v>
      </c>
      <c r="G108">
        <f>IF(B108=$B$111,G100,"")</f>
      </c>
      <c r="H108">
        <f>IF(B108=$B$111,H100,"")</f>
      </c>
      <c r="I108">
        <f>IF(B108=$B$111,I100,"")</f>
      </c>
      <c r="J108">
        <f>IF(B108=$B$111,J100,"")</f>
      </c>
    </row>
    <row r="109" spans="2:11" ht="12.75" hidden="1">
      <c r="B109">
        <f>IF(D25&lt;1,1000,"")</f>
        <v>1000</v>
      </c>
      <c r="G109">
        <f>IF(B109=$B$111,G101,"")</f>
      </c>
      <c r="H109">
        <f>IF(B109=$B$111,H101,"")</f>
      </c>
      <c r="I109">
        <f>IF(B109=$B$111,I101,"")</f>
      </c>
      <c r="J109">
        <f>IF(B109=$B$111,J101,"")</f>
      </c>
      <c r="K109">
        <f>IF(B109=$B$111,K101,"")</f>
      </c>
    </row>
    <row r="111" spans="1:11" ht="12.75">
      <c r="A111" s="68" t="s">
        <v>144</v>
      </c>
      <c r="B111" s="46">
        <f>MIN(B95:B101)</f>
        <v>400</v>
      </c>
      <c r="C111" s="69" t="s">
        <v>10</v>
      </c>
      <c r="D111" s="7"/>
      <c r="E111" s="7"/>
      <c r="F111" s="7"/>
      <c r="G111" s="7"/>
      <c r="H111" s="7"/>
      <c r="I111" s="7"/>
      <c r="J111" s="7"/>
      <c r="K111" s="7"/>
    </row>
    <row r="112" spans="1:11" ht="12.75">
      <c r="A112" s="33" t="s">
        <v>152</v>
      </c>
      <c r="B112" s="35"/>
      <c r="C112" s="35">
        <v>100</v>
      </c>
      <c r="D112" s="35">
        <v>150</v>
      </c>
      <c r="E112" s="35">
        <v>200</v>
      </c>
      <c r="F112" s="35">
        <v>250</v>
      </c>
      <c r="G112" s="35">
        <v>300</v>
      </c>
      <c r="H112" s="35">
        <v>400</v>
      </c>
      <c r="I112" s="35">
        <v>500</v>
      </c>
      <c r="J112" s="35">
        <v>600</v>
      </c>
      <c r="K112" s="34">
        <v>700</v>
      </c>
    </row>
    <row r="113" spans="1:11" ht="12.75" hidden="1">
      <c r="A113" s="18"/>
      <c r="B113" s="7"/>
      <c r="C113" s="7">
        <f>SUM(C103:C109)</f>
        <v>0</v>
      </c>
      <c r="D113" s="7">
        <f aca="true" t="shared" si="2" ref="D113:K113">SUM(D103:D109)</f>
        <v>0</v>
      </c>
      <c r="E113" s="7">
        <f t="shared" si="2"/>
        <v>0</v>
      </c>
      <c r="F113" s="7">
        <f t="shared" si="2"/>
        <v>0</v>
      </c>
      <c r="G113" s="7">
        <f t="shared" si="2"/>
        <v>250</v>
      </c>
      <c r="H113" s="7">
        <f t="shared" si="2"/>
        <v>200</v>
      </c>
      <c r="I113" s="7">
        <f t="shared" si="2"/>
        <v>0</v>
      </c>
      <c r="J113" s="7">
        <f t="shared" si="2"/>
        <v>0</v>
      </c>
      <c r="K113" s="19">
        <f t="shared" si="2"/>
        <v>0</v>
      </c>
    </row>
    <row r="114" spans="1:11" ht="12.75">
      <c r="A114" s="18" t="s">
        <v>153</v>
      </c>
      <c r="B114" s="7"/>
      <c r="C114" s="7">
        <f>IF(C113=0,"",C113)</f>
      </c>
      <c r="D114" s="7">
        <f aca="true" t="shared" si="3" ref="D114:K114">IF(D113=0,"",D113)</f>
      </c>
      <c r="E114" s="7">
        <f t="shared" si="3"/>
      </c>
      <c r="F114" s="7">
        <f t="shared" si="3"/>
      </c>
      <c r="G114" s="7">
        <f t="shared" si="3"/>
        <v>250</v>
      </c>
      <c r="H114" s="7">
        <f t="shared" si="3"/>
        <v>200</v>
      </c>
      <c r="I114" s="7">
        <f t="shared" si="3"/>
      </c>
      <c r="J114" s="7">
        <f t="shared" si="3"/>
      </c>
      <c r="K114" s="19">
        <f t="shared" si="3"/>
      </c>
    </row>
    <row r="115" spans="1:11" ht="12.75" hidden="1">
      <c r="A115" s="18"/>
      <c r="B115" s="7"/>
      <c r="C115" s="7">
        <f>IF(C113&gt;0,SQRT($D$23/833),"")</f>
      </c>
      <c r="D115" s="7">
        <f aca="true" t="shared" si="4" ref="D115:K115">IF(D113&gt;0,SQRT($D$23/833),"")</f>
      </c>
      <c r="E115" s="7">
        <f t="shared" si="4"/>
      </c>
      <c r="F115" s="7">
        <f t="shared" si="4"/>
      </c>
      <c r="G115" s="7">
        <f t="shared" si="4"/>
        <v>0.11820993797381975</v>
      </c>
      <c r="H115" s="7">
        <f t="shared" si="4"/>
        <v>0.11820993797381975</v>
      </c>
      <c r="I115" s="7">
        <f t="shared" si="4"/>
      </c>
      <c r="J115" s="7">
        <f t="shared" si="4"/>
      </c>
      <c r="K115" s="19">
        <f t="shared" si="4"/>
      </c>
    </row>
    <row r="116" spans="1:11" ht="12.75" hidden="1">
      <c r="A116" s="18"/>
      <c r="B116" s="7"/>
      <c r="C116" s="7">
        <f>IF(C115="","",(INT(C115*40)+1)*100/4)</f>
      </c>
      <c r="D116" s="7">
        <f>IF(D115="","",(INT(D115*40)+1)*100/4)</f>
      </c>
      <c r="E116" s="7">
        <f>IF(E115="","",(INT(E115*40)+1)*100/4)</f>
      </c>
      <c r="F116" s="7">
        <f aca="true" t="shared" si="5" ref="F116:K116">IF(F115="","",(INT(F115*40)+1)*100/4)</f>
      </c>
      <c r="G116" s="7">
        <f t="shared" si="5"/>
        <v>125</v>
      </c>
      <c r="H116" s="7">
        <f t="shared" si="5"/>
        <v>125</v>
      </c>
      <c r="I116" s="7">
        <f t="shared" si="5"/>
      </c>
      <c r="J116" s="7">
        <f t="shared" si="5"/>
      </c>
      <c r="K116" s="19">
        <f t="shared" si="5"/>
      </c>
    </row>
    <row r="117" spans="1:11" ht="12.75">
      <c r="A117" s="28" t="s">
        <v>154</v>
      </c>
      <c r="B117" s="25"/>
      <c r="C117" s="25">
        <f>IF(C116&lt;50,50,C116)</f>
      </c>
      <c r="D117" s="25">
        <f>IF(D116&lt;50,50,D116)</f>
      </c>
      <c r="E117" s="25">
        <f aca="true" t="shared" si="6" ref="E117:K117">IF(E116&lt;100,100,E116)</f>
      </c>
      <c r="F117" s="25">
        <f t="shared" si="6"/>
      </c>
      <c r="G117" s="25">
        <f t="shared" si="6"/>
        <v>125</v>
      </c>
      <c r="H117" s="25">
        <f t="shared" si="6"/>
        <v>125</v>
      </c>
      <c r="I117" s="25">
        <f t="shared" si="6"/>
      </c>
      <c r="J117" s="25">
        <f t="shared" si="6"/>
      </c>
      <c r="K117" s="24">
        <f t="shared" si="6"/>
      </c>
    </row>
  </sheetData>
  <sheetProtection password="CC7F"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&amp;CSida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="90" zoomScaleNormal="90" zoomScalePageLayoutView="0" workbookViewId="0" topLeftCell="A1">
      <selection activeCell="H25" sqref="H25"/>
    </sheetView>
  </sheetViews>
  <sheetFormatPr defaultColWidth="9.140625" defaultRowHeight="12.75"/>
  <cols>
    <col min="1" max="1" width="10.140625" style="0" customWidth="1"/>
    <col min="2" max="2" width="11.28125" style="0" bestFit="1" customWidth="1"/>
    <col min="3" max="3" width="11.00390625" style="0" customWidth="1"/>
    <col min="5" max="5" width="7.421875" style="0" customWidth="1"/>
    <col min="6" max="6" width="8.421875" style="0" customWidth="1"/>
  </cols>
  <sheetData>
    <row r="1" ht="12.75">
      <c r="A1" s="26"/>
    </row>
    <row r="2" spans="1:2" ht="12.75">
      <c r="A2" s="42" t="s">
        <v>80</v>
      </c>
      <c r="B2" s="16">
        <v>37670</v>
      </c>
    </row>
    <row r="5" ht="20.25">
      <c r="C5" s="39" t="s">
        <v>81</v>
      </c>
    </row>
    <row r="6" ht="12.75">
      <c r="E6" s="4" t="s">
        <v>181</v>
      </c>
    </row>
    <row r="8" spans="3:4" ht="12.75">
      <c r="C8" t="s">
        <v>82</v>
      </c>
      <c r="D8" s="26"/>
    </row>
    <row r="10" spans="1:9" s="4" customFormat="1" ht="12.75">
      <c r="A10" s="44" t="s">
        <v>83</v>
      </c>
      <c r="B10" s="44" t="s">
        <v>84</v>
      </c>
      <c r="C10" s="45"/>
      <c r="D10" s="46"/>
      <c r="E10" s="46" t="s">
        <v>85</v>
      </c>
      <c r="F10" s="46"/>
      <c r="G10" s="47"/>
      <c r="H10" s="44" t="s">
        <v>86</v>
      </c>
      <c r="I10" s="44" t="s">
        <v>87</v>
      </c>
    </row>
    <row r="11" spans="1:9" ht="12.75">
      <c r="A11" s="60"/>
      <c r="B11" s="60"/>
      <c r="C11" s="33"/>
      <c r="D11" s="35"/>
      <c r="E11" s="35"/>
      <c r="F11" s="35"/>
      <c r="G11" s="34"/>
      <c r="H11" s="60"/>
      <c r="I11" s="60"/>
    </row>
    <row r="12" spans="1:9" ht="12.75">
      <c r="A12" s="27" t="s">
        <v>88</v>
      </c>
      <c r="B12" s="51"/>
      <c r="C12" s="20" t="s">
        <v>155</v>
      </c>
      <c r="D12" s="7"/>
      <c r="E12" s="7"/>
      <c r="F12" s="7"/>
      <c r="G12" s="19"/>
      <c r="H12" s="17"/>
      <c r="I12" s="17"/>
    </row>
    <row r="13" spans="1:9" ht="12.75">
      <c r="A13" s="27"/>
      <c r="B13" s="85"/>
      <c r="C13" s="20" t="s">
        <v>156</v>
      </c>
      <c r="D13" s="7"/>
      <c r="E13" s="7"/>
      <c r="F13" s="7"/>
      <c r="G13" s="19"/>
      <c r="H13" s="17"/>
      <c r="I13" s="17"/>
    </row>
    <row r="14" spans="1:9" ht="12.75">
      <c r="A14" s="17"/>
      <c r="B14" s="17"/>
      <c r="C14" s="20" t="s">
        <v>89</v>
      </c>
      <c r="D14" s="7"/>
      <c r="E14" s="72">
        <f>IF(Beräkning!F5+Beräkning!F6+Beräkning!F7&gt;0,"",Beräkning!D59)</f>
        <v>4</v>
      </c>
      <c r="F14" s="7" t="s">
        <v>10</v>
      </c>
      <c r="G14" s="19"/>
      <c r="H14" s="40">
        <v>1</v>
      </c>
      <c r="I14" s="21" t="s">
        <v>90</v>
      </c>
    </row>
    <row r="15" spans="1:9" ht="12.75">
      <c r="A15" s="17"/>
      <c r="B15" s="17"/>
      <c r="C15" s="20"/>
      <c r="D15" s="31" t="s">
        <v>91</v>
      </c>
      <c r="E15" s="32">
        <f>Beräkning!E33/10</f>
        <v>1</v>
      </c>
      <c r="F15" s="7" t="s">
        <v>32</v>
      </c>
      <c r="G15" s="19"/>
      <c r="H15" s="21"/>
      <c r="I15" s="21"/>
    </row>
    <row r="16" spans="1:9" ht="12.75">
      <c r="A16" s="17"/>
      <c r="B16" s="17"/>
      <c r="C16" s="18"/>
      <c r="D16" s="7"/>
      <c r="E16" s="73">
        <f>IF(E14="Cirex","****Välj CIREX eller kontakta Beulco Armatur****","")</f>
      </c>
      <c r="F16" s="22" t="str">
        <f>IF(G16="","","RSKnr")</f>
        <v>RSKnr</v>
      </c>
      <c r="G16" s="62">
        <f>IF(E14="","",Beräkning!F146)</f>
        <v>5535208</v>
      </c>
      <c r="H16" s="21"/>
      <c r="I16" s="21"/>
    </row>
    <row r="17" spans="1:9" ht="12.75">
      <c r="A17" s="17"/>
      <c r="B17" s="17"/>
      <c r="C17" s="18"/>
      <c r="D17" s="7"/>
      <c r="E17" s="73">
        <f>IF(E14="går ej","****Välj CIREX eller kontakta Beulco Armatur****","")</f>
      </c>
      <c r="F17" s="7"/>
      <c r="G17" s="62"/>
      <c r="H17" s="21"/>
      <c r="I17" s="21"/>
    </row>
    <row r="18" spans="1:9" ht="12.75">
      <c r="A18" s="17"/>
      <c r="B18" s="18"/>
      <c r="C18" s="102" t="str">
        <f>IF(E14="","",Beräkning!H135)</f>
        <v>Armatursats typ V</v>
      </c>
      <c r="D18" s="7"/>
      <c r="E18" s="7"/>
      <c r="F18" s="22" t="str">
        <f>IF(G18="","","RSKnr")</f>
        <v>RSKnr</v>
      </c>
      <c r="G18" s="101">
        <f>IF(E14="","",Beräkning!F172)</f>
        <v>5535377</v>
      </c>
      <c r="H18" s="99">
        <f>IF(G18="","",1)</f>
        <v>1</v>
      </c>
      <c r="I18" s="21" t="str">
        <f>IF(G18="","","st")</f>
        <v>st</v>
      </c>
    </row>
    <row r="19" spans="1:9" ht="12.75">
      <c r="A19" s="17"/>
      <c r="B19" s="18"/>
      <c r="C19" s="102" t="str">
        <f>IF(G18="","Armatursats bestående av:","bestående av:")</f>
        <v>bestående av:</v>
      </c>
      <c r="D19" s="22"/>
      <c r="E19" s="22"/>
      <c r="F19" s="22"/>
      <c r="G19" s="7"/>
      <c r="H19" s="99"/>
      <c r="I19" s="17"/>
    </row>
    <row r="20" spans="1:9" ht="12.75">
      <c r="A20" s="17"/>
      <c r="B20" s="18"/>
      <c r="C20" s="103" t="str">
        <f>Beräkning!H137</f>
        <v>Samlingsrör ansl 20</v>
      </c>
      <c r="D20" s="22"/>
      <c r="E20" s="7"/>
      <c r="F20" s="7"/>
      <c r="G20" s="7"/>
      <c r="H20" s="99">
        <f>IF(H18="",1,"")</f>
      </c>
      <c r="I20" s="21">
        <f>IF(H20="","","st")</f>
      </c>
    </row>
    <row r="21" spans="1:9" ht="12.75">
      <c r="A21" s="17"/>
      <c r="B21" s="18"/>
      <c r="C21" s="18" t="str">
        <f>IF(C20="Samlingsrör ansl 20","Säkerhetsventil ansl 20","Säkerhetsventil ansl 25")</f>
        <v>Säkerhetsventil ansl 20</v>
      </c>
      <c r="D21" s="7"/>
      <c r="E21" s="49"/>
      <c r="F21" s="31">
        <f>Beräkning!E34</f>
        <v>2</v>
      </c>
      <c r="G21" s="22" t="s">
        <v>32</v>
      </c>
      <c r="H21" s="99">
        <f>IF(H18="",1,"")</f>
      </c>
      <c r="I21" s="21">
        <f>IF(H21="","","st")</f>
      </c>
    </row>
    <row r="22" spans="1:9" ht="12.75">
      <c r="A22" s="17"/>
      <c r="B22" s="18"/>
      <c r="C22" s="18" t="s">
        <v>186</v>
      </c>
      <c r="D22" s="7"/>
      <c r="E22" s="7"/>
      <c r="F22" s="7"/>
      <c r="G22" s="7"/>
      <c r="H22" s="99">
        <f>IF(H18="",1,"")</f>
      </c>
      <c r="I22" s="21">
        <f>IF(H22="","","st")</f>
      </c>
    </row>
    <row r="23" spans="1:9" ht="12.75">
      <c r="A23" s="17"/>
      <c r="B23" s="18"/>
      <c r="C23" s="18" t="s">
        <v>187</v>
      </c>
      <c r="D23" s="7"/>
      <c r="E23" s="7"/>
      <c r="F23" s="7"/>
      <c r="G23" s="7"/>
      <c r="H23" s="99">
        <f>IF(H18="",1,"")</f>
      </c>
      <c r="I23" s="21">
        <f>IF(H23="","","st")</f>
      </c>
    </row>
    <row r="24" spans="1:10" ht="12.75">
      <c r="A24" s="17"/>
      <c r="B24" s="18"/>
      <c r="C24" s="18"/>
      <c r="D24" s="7"/>
      <c r="E24" s="7"/>
      <c r="F24" s="7"/>
      <c r="G24" s="7"/>
      <c r="H24" s="99"/>
      <c r="I24" s="17"/>
      <c r="J24" s="18"/>
    </row>
    <row r="25" spans="1:10" ht="12.75">
      <c r="A25" s="17"/>
      <c r="B25" s="18"/>
      <c r="C25" s="18"/>
      <c r="D25" s="7"/>
      <c r="E25" s="7"/>
      <c r="F25" s="7"/>
      <c r="G25" s="7"/>
      <c r="H25" s="18"/>
      <c r="I25" s="17"/>
      <c r="J25" s="18"/>
    </row>
    <row r="26" spans="1:10" ht="12.75">
      <c r="A26" s="17"/>
      <c r="B26" s="18"/>
      <c r="C26" s="18"/>
      <c r="D26" s="7"/>
      <c r="E26" s="7"/>
      <c r="F26" s="7"/>
      <c r="G26" s="7"/>
      <c r="H26" s="18"/>
      <c r="I26" s="18"/>
      <c r="J26" s="18"/>
    </row>
    <row r="27" spans="1:10" ht="12.75">
      <c r="A27" s="17"/>
      <c r="B27" s="18"/>
      <c r="C27" s="18"/>
      <c r="D27" s="7"/>
      <c r="E27" s="7"/>
      <c r="F27" s="7"/>
      <c r="G27" s="7"/>
      <c r="H27" s="18"/>
      <c r="I27" s="18"/>
      <c r="J27" s="18"/>
    </row>
    <row r="28" spans="1:10" ht="12.75">
      <c r="A28" s="17"/>
      <c r="B28" s="18"/>
      <c r="C28" s="18"/>
      <c r="D28" s="7"/>
      <c r="E28" s="7"/>
      <c r="F28" s="7"/>
      <c r="G28" s="7"/>
      <c r="H28" s="18"/>
      <c r="I28" s="18"/>
      <c r="J28" s="18"/>
    </row>
    <row r="29" spans="1:10" ht="12.75">
      <c r="A29" s="17"/>
      <c r="B29" s="18"/>
      <c r="C29" s="20" t="s">
        <v>77</v>
      </c>
      <c r="D29" s="7"/>
      <c r="E29" s="7"/>
      <c r="F29" s="7"/>
      <c r="G29" s="7"/>
      <c r="H29" s="18"/>
      <c r="I29" s="17"/>
      <c r="J29" s="18"/>
    </row>
    <row r="30" spans="1:10" ht="12.75">
      <c r="A30" s="17"/>
      <c r="B30" s="18"/>
      <c r="C30" s="103" t="str">
        <f>IF(G30="","","Väggfäste")</f>
        <v>Väggfäste</v>
      </c>
      <c r="D30" s="7"/>
      <c r="E30" s="7"/>
      <c r="F30" s="22" t="str">
        <f>IF(G30="","","RSKnr")</f>
        <v>RSKnr</v>
      </c>
      <c r="G30" s="22">
        <f>IF(Beräkning!G203=0,"",Beräkning!G203)</f>
        <v>5535281</v>
      </c>
      <c r="H30" s="104"/>
      <c r="I30" s="17"/>
      <c r="J30" s="18"/>
    </row>
    <row r="31" spans="1:10" ht="12.75">
      <c r="A31" s="17"/>
      <c r="B31" s="18"/>
      <c r="C31" s="18" t="s">
        <v>92</v>
      </c>
      <c r="D31" s="7"/>
      <c r="E31" s="7"/>
      <c r="F31" s="22" t="s">
        <v>75</v>
      </c>
      <c r="G31" s="22">
        <v>5535287</v>
      </c>
      <c r="H31" s="105"/>
      <c r="I31" s="21">
        <f>IF(H31="","","st")</f>
      </c>
      <c r="J31" s="18"/>
    </row>
    <row r="32" spans="1:10" ht="12.75">
      <c r="A32" s="17"/>
      <c r="B32" s="17"/>
      <c r="C32" s="18" t="s">
        <v>93</v>
      </c>
      <c r="D32" s="7"/>
      <c r="E32" s="7"/>
      <c r="F32" s="22" t="s">
        <v>75</v>
      </c>
      <c r="G32" s="22">
        <f>Beräkning!K203</f>
        <v>5535314</v>
      </c>
      <c r="H32" s="105"/>
      <c r="I32" s="21">
        <f>IF(H32="","","st")</f>
      </c>
      <c r="J32" s="18"/>
    </row>
    <row r="33" spans="1:10" ht="12.75">
      <c r="A33" s="17"/>
      <c r="B33" s="17"/>
      <c r="C33" s="18" t="s">
        <v>94</v>
      </c>
      <c r="D33" s="7"/>
      <c r="E33" s="7"/>
      <c r="F33" s="22" t="s">
        <v>75</v>
      </c>
      <c r="G33" s="22">
        <v>5535321</v>
      </c>
      <c r="H33" s="105"/>
      <c r="I33" s="21">
        <f>IF(H33="","","st")</f>
      </c>
      <c r="J33" s="18"/>
    </row>
    <row r="34" spans="1:9" ht="12.75">
      <c r="A34" s="17"/>
      <c r="B34" s="17"/>
      <c r="C34" s="18" t="s">
        <v>95</v>
      </c>
      <c r="D34" s="7"/>
      <c r="E34" s="7"/>
      <c r="F34" s="22" t="s">
        <v>75</v>
      </c>
      <c r="G34" s="22">
        <v>5535322</v>
      </c>
      <c r="H34" s="105"/>
      <c r="I34" s="21">
        <f>IF(H34="","","st")</f>
      </c>
    </row>
    <row r="35" spans="1:9" ht="12.75">
      <c r="A35" s="17"/>
      <c r="B35" s="17"/>
      <c r="C35" s="18"/>
      <c r="G35" s="77"/>
      <c r="H35" s="17"/>
      <c r="I35" s="17"/>
    </row>
    <row r="36" spans="1:9" ht="12.75">
      <c r="A36" s="17"/>
      <c r="B36" s="17"/>
      <c r="C36" s="18"/>
      <c r="G36" s="19"/>
      <c r="H36" s="17"/>
      <c r="I36" s="17"/>
    </row>
    <row r="37" spans="1:9" ht="12.75">
      <c r="A37" s="17"/>
      <c r="B37" s="17"/>
      <c r="C37" s="18"/>
      <c r="D37" s="38" t="s">
        <v>96</v>
      </c>
      <c r="E37" s="35"/>
      <c r="F37" s="34"/>
      <c r="G37" s="19"/>
      <c r="H37" s="19"/>
      <c r="I37" s="17"/>
    </row>
    <row r="38" spans="1:9" ht="12.75">
      <c r="A38" s="17"/>
      <c r="B38" s="17"/>
      <c r="C38" s="18"/>
      <c r="D38" s="18"/>
      <c r="E38" s="7"/>
      <c r="F38" s="19"/>
      <c r="G38" s="19"/>
      <c r="H38" s="19"/>
      <c r="I38" s="17"/>
    </row>
    <row r="39" spans="1:9" ht="12.75">
      <c r="A39" s="17"/>
      <c r="B39" s="17"/>
      <c r="C39" s="18"/>
      <c r="D39" s="18" t="s">
        <v>97</v>
      </c>
      <c r="E39" s="7">
        <f>Beräkning!F8</f>
        <v>0</v>
      </c>
      <c r="F39" s="19" t="s">
        <v>5</v>
      </c>
      <c r="G39" s="19"/>
      <c r="H39" s="19"/>
      <c r="I39" s="17"/>
    </row>
    <row r="40" spans="1:9" ht="12.75">
      <c r="A40" s="17"/>
      <c r="B40" s="17"/>
      <c r="C40" s="18"/>
      <c r="D40" s="18" t="s">
        <v>98</v>
      </c>
      <c r="E40" s="8">
        <f>Beräkning!C52</f>
        <v>0</v>
      </c>
      <c r="F40" s="19" t="s">
        <v>10</v>
      </c>
      <c r="G40" s="19"/>
      <c r="H40" s="19"/>
      <c r="I40" s="17"/>
    </row>
    <row r="41" spans="1:9" ht="14.25">
      <c r="A41" s="17"/>
      <c r="B41" s="17"/>
      <c r="C41" s="18"/>
      <c r="D41" s="18" t="s">
        <v>99</v>
      </c>
      <c r="E41" s="7">
        <f>Beräkning!E30</f>
        <v>80</v>
      </c>
      <c r="F41" s="50" t="s">
        <v>100</v>
      </c>
      <c r="G41" s="19"/>
      <c r="H41" s="19"/>
      <c r="I41" s="17"/>
    </row>
    <row r="42" spans="1:9" ht="12.75">
      <c r="A42" s="17"/>
      <c r="B42" s="17"/>
      <c r="C42" s="18"/>
      <c r="D42" s="18" t="s">
        <v>101</v>
      </c>
      <c r="E42" s="7">
        <f>Beräkning!E33</f>
        <v>10</v>
      </c>
      <c r="F42" s="19" t="s">
        <v>30</v>
      </c>
      <c r="G42" s="19"/>
      <c r="H42" s="19"/>
      <c r="I42" s="17"/>
    </row>
    <row r="43" spans="1:9" ht="12.75">
      <c r="A43" s="17"/>
      <c r="B43" s="17"/>
      <c r="C43" s="18"/>
      <c r="D43" s="18" t="s">
        <v>102</v>
      </c>
      <c r="E43" s="7">
        <f>Beräkning!E34</f>
        <v>2</v>
      </c>
      <c r="F43" s="19" t="s">
        <v>32</v>
      </c>
      <c r="G43" s="19"/>
      <c r="H43" s="19"/>
      <c r="I43" s="17"/>
    </row>
    <row r="44" spans="1:9" ht="12.75">
      <c r="A44" s="17"/>
      <c r="B44" s="17"/>
      <c r="C44" s="18"/>
      <c r="D44" s="28" t="s">
        <v>105</v>
      </c>
      <c r="E44" s="25">
        <f>Beräkning!E31</f>
        <v>0</v>
      </c>
      <c r="F44" s="24" t="s">
        <v>50</v>
      </c>
      <c r="G44" s="19"/>
      <c r="H44" s="19"/>
      <c r="I44" s="17"/>
    </row>
    <row r="45" spans="1:9" ht="12.75">
      <c r="A45" s="18"/>
      <c r="B45" s="18"/>
      <c r="C45" s="18"/>
      <c r="D45" s="7"/>
      <c r="E45" s="7"/>
      <c r="F45" s="7"/>
      <c r="G45" s="19"/>
      <c r="H45" s="19"/>
      <c r="I45" s="19"/>
    </row>
    <row r="46" spans="1:9" ht="12.75">
      <c r="A46" s="18"/>
      <c r="B46" s="18"/>
      <c r="C46" s="18"/>
      <c r="D46" s="33" t="s">
        <v>103</v>
      </c>
      <c r="E46" s="71">
        <f>Beräkning!C53</f>
        <v>0</v>
      </c>
      <c r="F46" s="34" t="s">
        <v>10</v>
      </c>
      <c r="G46" s="19"/>
      <c r="H46" s="19"/>
      <c r="I46" s="19"/>
    </row>
    <row r="47" spans="1:9" ht="12.75">
      <c r="A47" s="28"/>
      <c r="B47" s="28"/>
      <c r="C47" s="28"/>
      <c r="D47" s="28" t="s">
        <v>104</v>
      </c>
      <c r="E47" s="53">
        <f>Beräkning!C57</f>
        <v>0</v>
      </c>
      <c r="F47" s="24" t="s">
        <v>10</v>
      </c>
      <c r="G47" s="78"/>
      <c r="H47" s="24"/>
      <c r="I47" s="24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="90" zoomScaleNormal="90" zoomScalePageLayoutView="0" workbookViewId="0" topLeftCell="A1">
      <selection activeCell="C25" sqref="C25"/>
    </sheetView>
  </sheetViews>
  <sheetFormatPr defaultColWidth="9.140625" defaultRowHeight="12.75"/>
  <cols>
    <col min="1" max="1" width="10.140625" style="0" customWidth="1"/>
    <col min="2" max="2" width="11.28125" style="0" bestFit="1" customWidth="1"/>
    <col min="3" max="3" width="10.8515625" style="0" customWidth="1"/>
    <col min="5" max="5" width="7.57421875" style="0" customWidth="1"/>
  </cols>
  <sheetData>
    <row r="1" spans="1:2" ht="12.75">
      <c r="A1" s="26"/>
      <c r="B1" s="5"/>
    </row>
    <row r="2" spans="1:2" ht="12.75">
      <c r="A2" s="5" t="s">
        <v>80</v>
      </c>
      <c r="B2" s="16">
        <v>37670</v>
      </c>
    </row>
    <row r="5" spans="1:3" ht="20.25">
      <c r="A5" s="5"/>
      <c r="C5" s="39" t="s">
        <v>81</v>
      </c>
    </row>
    <row r="6" ht="14.25">
      <c r="C6" t="s">
        <v>182</v>
      </c>
    </row>
    <row r="7" ht="12.75">
      <c r="C7">
        <f>IF(Beräkning!L8=4,"Utrustningen är avsedd för El-panna","")</f>
      </c>
    </row>
    <row r="9" spans="3:4" ht="12.75">
      <c r="C9" t="s">
        <v>82</v>
      </c>
      <c r="D9" s="26"/>
    </row>
    <row r="11" spans="1:9" s="3" customFormat="1" ht="12.75">
      <c r="A11" s="44" t="s">
        <v>83</v>
      </c>
      <c r="B11" s="44" t="s">
        <v>84</v>
      </c>
      <c r="C11" s="45"/>
      <c r="D11" s="46"/>
      <c r="E11" s="46" t="s">
        <v>85</v>
      </c>
      <c r="F11" s="46"/>
      <c r="G11" s="47"/>
      <c r="H11" s="44" t="s">
        <v>86</v>
      </c>
      <c r="I11" s="44" t="s">
        <v>87</v>
      </c>
    </row>
    <row r="12" spans="1:9" ht="12.75">
      <c r="A12" s="17"/>
      <c r="B12" s="17"/>
      <c r="C12" s="18"/>
      <c r="D12" s="7"/>
      <c r="E12" s="7"/>
      <c r="F12" s="7"/>
      <c r="G12" s="19"/>
      <c r="H12" s="17"/>
      <c r="I12" s="17"/>
    </row>
    <row r="13" spans="1:9" ht="12.75">
      <c r="A13" s="27" t="s">
        <v>88</v>
      </c>
      <c r="B13" s="51"/>
      <c r="C13" s="20" t="s">
        <v>155</v>
      </c>
      <c r="D13" s="7"/>
      <c r="E13" s="7"/>
      <c r="F13" s="7"/>
      <c r="G13" s="19"/>
      <c r="H13" s="17"/>
      <c r="I13" s="17"/>
    </row>
    <row r="14" spans="1:9" ht="12.75">
      <c r="A14" s="17"/>
      <c r="B14" s="17"/>
      <c r="C14" s="86" t="s">
        <v>157</v>
      </c>
      <c r="D14" s="7"/>
      <c r="E14" s="7"/>
      <c r="F14" s="7"/>
      <c r="G14" s="19"/>
      <c r="H14" s="17"/>
      <c r="I14" s="17"/>
    </row>
    <row r="15" spans="1:9" ht="12.75">
      <c r="A15" s="17"/>
      <c r="B15" s="17"/>
      <c r="C15" s="20" t="s">
        <v>89</v>
      </c>
      <c r="D15" s="7"/>
      <c r="E15" s="3">
        <f>IF(Beräkning!Q7=1,Beräkning!E61,"")</f>
      </c>
      <c r="F15" s="7" t="s">
        <v>10</v>
      </c>
      <c r="H15" s="40">
        <v>1</v>
      </c>
      <c r="I15" s="21" t="s">
        <v>90</v>
      </c>
    </row>
    <row r="16" spans="1:9" ht="12.75">
      <c r="A16" s="17"/>
      <c r="B16" s="17"/>
      <c r="C16" s="20"/>
      <c r="D16" s="31" t="s">
        <v>91</v>
      </c>
      <c r="E16" s="32">
        <f>Beräkning!E33/10</f>
        <v>1</v>
      </c>
      <c r="F16" s="7" t="s">
        <v>32</v>
      </c>
      <c r="H16" s="21"/>
      <c r="I16" s="21"/>
    </row>
    <row r="17" spans="1:9" ht="12.75">
      <c r="A17" s="17"/>
      <c r="B17" s="17"/>
      <c r="E17" s="52">
        <f>IF(E15="Cirex","****Välj CIREX eller kontakta Beulco Armatur****","")</f>
      </c>
      <c r="F17" s="4">
        <f>IF(G17="","","RSKnr")</f>
      </c>
      <c r="G17" s="4">
        <f>IF(E15="","",Beräkning!F146)</f>
      </c>
      <c r="H17" s="27"/>
      <c r="I17" s="21"/>
    </row>
    <row r="18" spans="1:10" ht="12.75">
      <c r="A18" s="17"/>
      <c r="B18" s="17"/>
      <c r="E18" s="52">
        <f>IF(E15="går ej","****Välj CIREX eller kontakta Beulco Armatur****","")</f>
      </c>
      <c r="H18" s="18"/>
      <c r="I18" s="99"/>
      <c r="J18" s="18"/>
    </row>
    <row r="19" spans="1:10" ht="12.75" customHeight="1">
      <c r="A19" s="17"/>
      <c r="B19" s="18"/>
      <c r="C19" s="102">
        <f>IF(E15="","",Beräkning!H140)</f>
      </c>
      <c r="D19" s="7"/>
      <c r="E19" s="7"/>
      <c r="F19" s="22">
        <f>IF(G19="","","RSKnr")</f>
      </c>
      <c r="G19" s="101">
        <f>IF(E15="","",Beräkning!F174)</f>
      </c>
      <c r="H19" s="99">
        <v>1</v>
      </c>
      <c r="I19" s="99" t="s">
        <v>90</v>
      </c>
      <c r="J19" s="18"/>
    </row>
    <row r="20" spans="1:10" ht="12.75" customHeight="1">
      <c r="A20" s="17"/>
      <c r="B20" s="18"/>
      <c r="C20" s="18" t="s">
        <v>67</v>
      </c>
      <c r="D20" s="22"/>
      <c r="E20" s="22"/>
      <c r="F20" s="22"/>
      <c r="G20" s="7"/>
      <c r="H20" s="99"/>
      <c r="I20" s="99"/>
      <c r="J20" s="18"/>
    </row>
    <row r="21" spans="1:10" ht="12.75" customHeight="1">
      <c r="A21" s="17"/>
      <c r="B21" s="18"/>
      <c r="C21" s="103">
        <f>IF(C19="","",Beräkning!H142)</f>
      </c>
      <c r="D21" s="22"/>
      <c r="E21" s="7"/>
      <c r="F21" s="7"/>
      <c r="G21" s="7"/>
      <c r="H21" s="99"/>
      <c r="I21" s="99"/>
      <c r="J21" s="18"/>
    </row>
    <row r="22" spans="1:10" ht="12.75" customHeight="1">
      <c r="A22" s="17"/>
      <c r="B22" s="18"/>
      <c r="C22" s="18" t="str">
        <f>IF(C21="Samlingsrör ansl 20","Säkerhetsventil ansl 20","Säkerhetsventil ansl 25")</f>
        <v>Säkerhetsventil ansl 25</v>
      </c>
      <c r="D22" s="7"/>
      <c r="E22" s="49"/>
      <c r="F22" s="31">
        <f>Beräkning!E34</f>
        <v>2</v>
      </c>
      <c r="G22" s="7" t="s">
        <v>32</v>
      </c>
      <c r="H22" s="99"/>
      <c r="I22" s="99"/>
      <c r="J22" s="18"/>
    </row>
    <row r="23" spans="1:10" ht="12.75" customHeight="1">
      <c r="A23" s="17"/>
      <c r="B23" s="18"/>
      <c r="C23" s="18" t="s">
        <v>186</v>
      </c>
      <c r="D23" s="7"/>
      <c r="E23" s="7"/>
      <c r="F23" s="7"/>
      <c r="G23" s="7"/>
      <c r="H23" s="99"/>
      <c r="I23" s="99"/>
      <c r="J23" s="18"/>
    </row>
    <row r="24" spans="1:10" ht="12.75" customHeight="1">
      <c r="A24" s="17"/>
      <c r="B24" s="18"/>
      <c r="C24" s="18" t="s">
        <v>187</v>
      </c>
      <c r="D24" s="7"/>
      <c r="E24" s="7"/>
      <c r="F24" s="7"/>
      <c r="G24" s="7"/>
      <c r="H24" s="99"/>
      <c r="I24" s="99"/>
      <c r="J24" s="18"/>
    </row>
    <row r="25" spans="1:10" ht="12.75" customHeight="1">
      <c r="A25" s="17"/>
      <c r="B25" s="18"/>
      <c r="C25" s="18">
        <f>IF(Beräkning!F7&gt;0,"Termisk temperaturbegränsare","")</f>
      </c>
      <c r="D25" s="7"/>
      <c r="E25" s="7"/>
      <c r="F25" s="22">
        <f>IF(G25="","","RSKnr")</f>
      </c>
      <c r="G25" s="22">
        <f>IF(C25&gt;"",5558077,"")</f>
      </c>
      <c r="H25" s="99">
        <f>IF(C25="","",1)</f>
      </c>
      <c r="I25" s="99">
        <f>IF(C25="","","st")</f>
      </c>
      <c r="J25" s="18"/>
    </row>
    <row r="26" spans="1:10" ht="12.75">
      <c r="A26" s="17"/>
      <c r="B26" s="18"/>
      <c r="C26" s="18"/>
      <c r="D26" s="7"/>
      <c r="E26" s="7"/>
      <c r="F26" s="7"/>
      <c r="G26" s="7"/>
      <c r="H26" s="18"/>
      <c r="I26" s="18"/>
      <c r="J26" s="18"/>
    </row>
    <row r="27" spans="1:10" ht="12.75">
      <c r="A27" s="17"/>
      <c r="B27" s="18"/>
      <c r="C27" s="18"/>
      <c r="H27" s="18"/>
      <c r="I27" s="18"/>
      <c r="J27" s="18"/>
    </row>
    <row r="28" spans="1:10" ht="12.75">
      <c r="A28" s="17"/>
      <c r="B28" s="18"/>
      <c r="C28" s="18"/>
      <c r="H28" s="18"/>
      <c r="I28" s="18"/>
      <c r="J28" s="18"/>
    </row>
    <row r="29" spans="1:10" ht="12.75">
      <c r="A29" s="17"/>
      <c r="B29" s="18"/>
      <c r="C29" s="18"/>
      <c r="H29" s="18"/>
      <c r="I29" s="18"/>
      <c r="J29" s="18"/>
    </row>
    <row r="30" spans="1:10" ht="12.75">
      <c r="A30" s="17"/>
      <c r="B30" s="18"/>
      <c r="C30" s="20" t="s">
        <v>77</v>
      </c>
      <c r="D30" s="7"/>
      <c r="E30" s="7"/>
      <c r="F30" s="7"/>
      <c r="G30" s="7"/>
      <c r="H30" s="99"/>
      <c r="I30" s="99"/>
      <c r="J30" s="18"/>
    </row>
    <row r="31" spans="1:10" ht="12.75">
      <c r="A31" s="17"/>
      <c r="B31" s="18"/>
      <c r="C31" s="103" t="str">
        <f>IF(G31="","","Väggfäste")</f>
        <v>Väggfäste</v>
      </c>
      <c r="D31" s="7"/>
      <c r="E31" s="7"/>
      <c r="F31" s="22" t="str">
        <f>IF(G31="","","RSKnr")</f>
        <v>RSKnr</v>
      </c>
      <c r="G31" s="22">
        <f>IF(Beräkning!G203=0,"",Beräkning!G203)</f>
        <v>5535281</v>
      </c>
      <c r="H31" s="104"/>
      <c r="I31" s="18"/>
      <c r="J31" s="18"/>
    </row>
    <row r="32" spans="1:10" ht="12.75">
      <c r="A32" s="17"/>
      <c r="B32" s="18"/>
      <c r="C32" s="18" t="s">
        <v>92</v>
      </c>
      <c r="D32" s="7"/>
      <c r="E32" s="7"/>
      <c r="F32" s="22" t="s">
        <v>75</v>
      </c>
      <c r="G32" s="22">
        <v>5535287</v>
      </c>
      <c r="H32" s="105"/>
      <c r="I32" s="99">
        <f>IF(H32="","","st")</f>
      </c>
      <c r="J32" s="18"/>
    </row>
    <row r="33" spans="1:10" ht="12.75">
      <c r="A33" s="17"/>
      <c r="B33" s="17"/>
      <c r="C33" s="18" t="s">
        <v>93</v>
      </c>
      <c r="D33" s="7"/>
      <c r="E33" s="7"/>
      <c r="F33" s="22" t="s">
        <v>75</v>
      </c>
      <c r="G33" s="22">
        <f>Beräkning!K203</f>
        <v>5535314</v>
      </c>
      <c r="H33" s="105"/>
      <c r="I33" s="99">
        <f>IF(H33="","","st")</f>
      </c>
      <c r="J33" s="18"/>
    </row>
    <row r="34" spans="1:10" ht="12.75">
      <c r="A34" s="17"/>
      <c r="B34" s="17"/>
      <c r="C34" s="18" t="s">
        <v>94</v>
      </c>
      <c r="D34" s="7"/>
      <c r="E34" s="7"/>
      <c r="F34" s="22" t="s">
        <v>75</v>
      </c>
      <c r="G34" s="22">
        <v>5535321</v>
      </c>
      <c r="H34" s="105"/>
      <c r="I34" s="99">
        <f>IF(H34="","","st")</f>
      </c>
      <c r="J34" s="18"/>
    </row>
    <row r="35" spans="1:10" ht="12.75">
      <c r="A35" s="17"/>
      <c r="B35" s="17"/>
      <c r="C35" s="18" t="s">
        <v>95</v>
      </c>
      <c r="D35" s="7"/>
      <c r="E35" s="7"/>
      <c r="F35" s="22" t="s">
        <v>75</v>
      </c>
      <c r="G35" s="22">
        <v>5535322</v>
      </c>
      <c r="H35" s="105"/>
      <c r="I35" s="99">
        <f>IF(H35="","","st")</f>
      </c>
      <c r="J35" s="18"/>
    </row>
    <row r="36" spans="1:9" ht="12.75">
      <c r="A36" s="17"/>
      <c r="B36" s="17"/>
      <c r="C36" s="18"/>
      <c r="G36" s="19"/>
      <c r="H36" s="17"/>
      <c r="I36" s="17"/>
    </row>
    <row r="37" spans="1:9" ht="12.75">
      <c r="A37" s="17"/>
      <c r="B37" s="17"/>
      <c r="C37" s="18"/>
      <c r="G37" s="77"/>
      <c r="H37" s="17"/>
      <c r="I37" s="17"/>
    </row>
    <row r="38" spans="1:9" ht="12.75">
      <c r="A38" s="17"/>
      <c r="B38" s="17"/>
      <c r="C38" s="18"/>
      <c r="G38" s="19"/>
      <c r="H38" s="17"/>
      <c r="I38" s="17"/>
    </row>
    <row r="39" spans="1:9" ht="12.75">
      <c r="A39" s="17"/>
      <c r="B39" s="17"/>
      <c r="C39" s="18"/>
      <c r="G39" s="19"/>
      <c r="H39" s="17"/>
      <c r="I39" s="17"/>
    </row>
    <row r="40" spans="1:9" ht="12.75">
      <c r="A40" s="17"/>
      <c r="B40" s="17"/>
      <c r="C40" s="18"/>
      <c r="D40" s="33" t="s">
        <v>96</v>
      </c>
      <c r="E40" s="35"/>
      <c r="F40" s="34"/>
      <c r="G40" s="19"/>
      <c r="H40" s="17"/>
      <c r="I40" s="17"/>
    </row>
    <row r="41" spans="1:9" ht="12.75">
      <c r="A41" s="18"/>
      <c r="B41" s="18"/>
      <c r="C41" s="18"/>
      <c r="D41" s="18"/>
      <c r="E41" s="7"/>
      <c r="F41" s="19"/>
      <c r="G41" s="7"/>
      <c r="H41" s="18"/>
      <c r="I41" s="17"/>
    </row>
    <row r="42" spans="1:9" ht="12.75">
      <c r="A42" s="18"/>
      <c r="B42" s="18"/>
      <c r="C42" s="18"/>
      <c r="D42" s="18" t="s">
        <v>97</v>
      </c>
      <c r="E42" s="7">
        <f>Beräkning!F5+Beräkning!F6+Beräkning!F7</f>
        <v>0</v>
      </c>
      <c r="F42" s="19" t="s">
        <v>5</v>
      </c>
      <c r="H42" s="18"/>
      <c r="I42" s="17"/>
    </row>
    <row r="43" spans="1:9" ht="12.75">
      <c r="A43" s="18"/>
      <c r="B43" s="18"/>
      <c r="C43" s="18"/>
      <c r="D43" s="18" t="s">
        <v>98</v>
      </c>
      <c r="E43" s="8">
        <f>Beräkning!C52</f>
        <v>0</v>
      </c>
      <c r="F43" s="19" t="s">
        <v>10</v>
      </c>
      <c r="H43" s="18"/>
      <c r="I43" s="17"/>
    </row>
    <row r="44" spans="1:9" ht="14.25">
      <c r="A44" s="18"/>
      <c r="B44" s="18"/>
      <c r="C44" s="18"/>
      <c r="D44" s="18" t="s">
        <v>99</v>
      </c>
      <c r="E44" s="7">
        <f>Beräkning!E30</f>
        <v>80</v>
      </c>
      <c r="F44" s="50" t="s">
        <v>100</v>
      </c>
      <c r="H44" s="18"/>
      <c r="I44" s="17"/>
    </row>
    <row r="45" spans="1:9" ht="12.75">
      <c r="A45" s="18"/>
      <c r="B45" s="18"/>
      <c r="C45" s="18"/>
      <c r="D45" s="18" t="s">
        <v>101</v>
      </c>
      <c r="E45" s="7">
        <f>Beräkning!E33</f>
        <v>10</v>
      </c>
      <c r="F45" s="19" t="s">
        <v>30</v>
      </c>
      <c r="H45" s="18"/>
      <c r="I45" s="17"/>
    </row>
    <row r="46" spans="1:9" ht="12.75">
      <c r="A46" s="18"/>
      <c r="B46" s="18"/>
      <c r="C46" s="18"/>
      <c r="D46" s="18" t="s">
        <v>102</v>
      </c>
      <c r="E46" s="7">
        <f>Beräkning!E34</f>
        <v>2</v>
      </c>
      <c r="F46" s="19" t="s">
        <v>32</v>
      </c>
      <c r="H46" s="18"/>
      <c r="I46" s="17"/>
    </row>
    <row r="47" spans="1:9" ht="12.75">
      <c r="A47" s="18"/>
      <c r="B47" s="18"/>
      <c r="C47" s="18"/>
      <c r="D47" s="28" t="s">
        <v>105</v>
      </c>
      <c r="E47" s="25">
        <f>Beräkning!E31</f>
        <v>0</v>
      </c>
      <c r="F47" s="24" t="s">
        <v>50</v>
      </c>
      <c r="H47" s="18"/>
      <c r="I47" s="17"/>
    </row>
    <row r="48" spans="1:9" ht="12.75">
      <c r="A48" s="18"/>
      <c r="B48" s="18"/>
      <c r="C48" s="18"/>
      <c r="H48" s="18"/>
      <c r="I48" s="17"/>
    </row>
    <row r="49" spans="1:9" ht="12.75">
      <c r="A49" s="18"/>
      <c r="B49" s="18"/>
      <c r="C49" s="18"/>
      <c r="D49" s="33" t="s">
        <v>103</v>
      </c>
      <c r="E49" s="71">
        <f>Beräkning!C53</f>
        <v>0</v>
      </c>
      <c r="F49" s="34" t="s">
        <v>10</v>
      </c>
      <c r="H49" s="18"/>
      <c r="I49" s="17"/>
    </row>
    <row r="50" spans="1:9" ht="12.75">
      <c r="A50" s="28"/>
      <c r="B50" s="28"/>
      <c r="C50" s="28"/>
      <c r="D50" s="28" t="s">
        <v>104</v>
      </c>
      <c r="E50" s="53">
        <f>Beräkning!C57</f>
        <v>0</v>
      </c>
      <c r="F50" s="24" t="s">
        <v>10</v>
      </c>
      <c r="G50" s="25"/>
      <c r="H50" s="28"/>
      <c r="I50" s="23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96"/>
      <c r="H55" s="7"/>
      <c r="I55" s="7"/>
    </row>
  </sheetData>
  <sheetProtection/>
  <printOptions/>
  <pageMargins left="0.75" right="0.75" top="1" bottom="1" header="0.5" footer="0.5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showGridLines="0" zoomScale="90" zoomScaleNormal="90" zoomScalePageLayoutView="0" workbookViewId="0" topLeftCell="A1">
      <selection activeCell="I24" sqref="I24"/>
    </sheetView>
  </sheetViews>
  <sheetFormatPr defaultColWidth="9.140625" defaultRowHeight="12.75"/>
  <cols>
    <col min="1" max="1" width="10.140625" style="0" customWidth="1"/>
    <col min="2" max="2" width="11.28125" style="0" bestFit="1" customWidth="1"/>
    <col min="3" max="3" width="10.8515625" style="0" customWidth="1"/>
    <col min="5" max="5" width="7.57421875" style="0" customWidth="1"/>
  </cols>
  <sheetData>
    <row r="1" spans="1:2" ht="12.75">
      <c r="A1" s="26"/>
      <c r="B1" s="5"/>
    </row>
    <row r="2" spans="1:2" ht="12.75">
      <c r="A2" s="5" t="s">
        <v>80</v>
      </c>
      <c r="B2" s="16">
        <v>37670</v>
      </c>
    </row>
    <row r="5" spans="1:3" ht="20.25">
      <c r="A5" s="5"/>
      <c r="C5" s="39" t="s">
        <v>81</v>
      </c>
    </row>
    <row r="6" ht="14.25">
      <c r="C6" t="s">
        <v>183</v>
      </c>
    </row>
    <row r="7" ht="12.75">
      <c r="C7">
        <f>IF(Beräkning!L8=4,"Utrustningen är avsedd för El-panna","")</f>
      </c>
    </row>
    <row r="9" spans="3:4" ht="12.75">
      <c r="C9" t="s">
        <v>82</v>
      </c>
      <c r="D9" s="26"/>
    </row>
    <row r="11" spans="1:9" s="3" customFormat="1" ht="12.75">
      <c r="A11" s="44" t="s">
        <v>83</v>
      </c>
      <c r="B11" s="44" t="s">
        <v>84</v>
      </c>
      <c r="C11" s="45"/>
      <c r="D11" s="46"/>
      <c r="E11" s="46" t="s">
        <v>85</v>
      </c>
      <c r="F11" s="46"/>
      <c r="G11" s="47"/>
      <c r="H11" s="44" t="s">
        <v>86</v>
      </c>
      <c r="I11" s="44" t="s">
        <v>87</v>
      </c>
    </row>
    <row r="12" spans="1:9" ht="12.75">
      <c r="A12" s="17"/>
      <c r="B12" s="17"/>
      <c r="C12" s="18"/>
      <c r="D12" s="7"/>
      <c r="E12" s="7"/>
      <c r="F12" s="7"/>
      <c r="G12" s="19"/>
      <c r="H12" s="17"/>
      <c r="I12" s="17"/>
    </row>
    <row r="13" spans="1:9" ht="12.75">
      <c r="A13" s="27" t="s">
        <v>88</v>
      </c>
      <c r="B13" s="51"/>
      <c r="C13" s="20" t="s">
        <v>155</v>
      </c>
      <c r="D13" s="7"/>
      <c r="E13" s="7"/>
      <c r="F13" s="7"/>
      <c r="G13" s="19"/>
      <c r="H13" s="17"/>
      <c r="I13" s="17"/>
    </row>
    <row r="14" spans="1:9" ht="12.75">
      <c r="A14" s="17"/>
      <c r="B14" s="17"/>
      <c r="C14" s="86" t="s">
        <v>157</v>
      </c>
      <c r="D14" s="7"/>
      <c r="E14" s="7"/>
      <c r="F14" s="7"/>
      <c r="G14" s="19"/>
      <c r="H14" s="17"/>
      <c r="I14" s="17"/>
    </row>
    <row r="15" spans="1:9" ht="12.75">
      <c r="A15" s="17"/>
      <c r="B15" s="17"/>
      <c r="C15" s="20" t="s">
        <v>89</v>
      </c>
      <c r="D15" s="7"/>
      <c r="E15" s="3">
        <f>IF(Beräkning!Q7=2,Beräkning!E64,"")</f>
      </c>
      <c r="F15" s="7" t="s">
        <v>10</v>
      </c>
      <c r="H15" s="40">
        <v>1</v>
      </c>
      <c r="I15" s="21" t="s">
        <v>90</v>
      </c>
    </row>
    <row r="16" spans="1:9" ht="12.75">
      <c r="A16" s="17"/>
      <c r="B16" s="17"/>
      <c r="C16" s="20"/>
      <c r="D16" s="31" t="s">
        <v>91</v>
      </c>
      <c r="E16" s="32">
        <f>Beräkning!E33/10</f>
        <v>1</v>
      </c>
      <c r="F16" s="7" t="s">
        <v>32</v>
      </c>
      <c r="H16" s="21"/>
      <c r="I16" s="21"/>
    </row>
    <row r="17" spans="1:9" ht="12.75">
      <c r="A17" s="17"/>
      <c r="B17" s="17"/>
      <c r="E17" s="52">
        <f>IF(E15="Cirex","****Välj CIREX eller kontakta Beulco Armatur****","")</f>
      </c>
      <c r="F17" s="4">
        <f>IF(G17="","","RSKnr")</f>
      </c>
      <c r="G17" s="4">
        <f>IF(E15="","",Beräkning!F146)</f>
      </c>
      <c r="H17" s="27"/>
      <c r="I17" s="21"/>
    </row>
    <row r="18" spans="1:10" ht="12.75">
      <c r="A18" s="17"/>
      <c r="B18" s="17"/>
      <c r="E18" s="52">
        <f>IF(E15="går ej","****Välj CIREX eller kontakta Beulco Armatur****","")</f>
      </c>
      <c r="H18" s="18"/>
      <c r="I18" s="21"/>
      <c r="J18" s="7"/>
    </row>
    <row r="19" spans="1:10" ht="12.75" customHeight="1">
      <c r="A19" s="17"/>
      <c r="B19" s="18"/>
      <c r="C19" s="20" t="s">
        <v>106</v>
      </c>
      <c r="D19" s="7"/>
      <c r="E19" s="7"/>
      <c r="F19" s="22"/>
      <c r="G19" s="7"/>
      <c r="H19" s="18"/>
      <c r="I19" s="99"/>
      <c r="J19" s="18"/>
    </row>
    <row r="20" spans="1:10" ht="12.75" customHeight="1">
      <c r="A20" s="17"/>
      <c r="B20" s="18"/>
      <c r="C20" s="18" t="str">
        <f>IF(Beräkning!F5+Beräkning!F7=0,"(Ångsamlingskärl erfordras ej)","Ångsamlingsrör anslutning")</f>
        <v>(Ångsamlingskärl erfordras ej)</v>
      </c>
      <c r="D20" s="22"/>
      <c r="E20" s="41"/>
      <c r="F20" s="22"/>
      <c r="G20" s="7"/>
      <c r="H20" s="99">
        <f>IF(C20="(Ångsamlingskärl erfordras ej)","",1)</f>
      </c>
      <c r="I20" s="99" t="s">
        <v>90</v>
      </c>
      <c r="J20" s="18"/>
    </row>
    <row r="21" spans="1:10" ht="12.75" customHeight="1">
      <c r="A21" s="17"/>
      <c r="B21" s="18"/>
      <c r="C21" s="18" t="s">
        <v>177</v>
      </c>
      <c r="D21" s="7"/>
      <c r="E21" s="22">
        <f>IF(E15="","",Beräkning!H102)</f>
      </c>
      <c r="F21" s="31">
        <f>Beräkning!E34</f>
        <v>2</v>
      </c>
      <c r="G21" s="7" t="s">
        <v>32</v>
      </c>
      <c r="H21" s="99">
        <v>1</v>
      </c>
      <c r="I21" s="99" t="s">
        <v>90</v>
      </c>
      <c r="J21" s="18"/>
    </row>
    <row r="22" spans="1:10" ht="12.75" customHeight="1">
      <c r="A22" s="17"/>
      <c r="B22" s="18"/>
      <c r="C22" s="18" t="str">
        <f>IF(Beräkning!F5+Beräkning!F7=0,"(Säkerhetsmodul Secure erf ej)","Säkerhetsmodul Secure")</f>
        <v>(Säkerhetsmodul Secure erf ej)</v>
      </c>
      <c r="D22" s="7"/>
      <c r="E22" s="7"/>
      <c r="F22" s="7"/>
      <c r="G22" s="7"/>
      <c r="H22" s="99">
        <f>IF(C22="(Säkerhetsmodul Secure erf ej)","",1)</f>
      </c>
      <c r="I22" s="99">
        <f>IF(C22="(Säkerhetsmodul Secure erf ej)","","st")</f>
      </c>
      <c r="J22" s="18"/>
    </row>
    <row r="23" spans="1:10" ht="12.75" customHeight="1">
      <c r="A23" s="17"/>
      <c r="B23" s="18"/>
      <c r="C23" s="18" t="s">
        <v>188</v>
      </c>
      <c r="D23" s="7"/>
      <c r="E23" s="7"/>
      <c r="F23" s="7"/>
      <c r="G23" s="7"/>
      <c r="H23" s="99"/>
      <c r="I23" s="99"/>
      <c r="J23" s="18"/>
    </row>
    <row r="24" spans="1:10" ht="12.75" customHeight="1">
      <c r="A24" s="17"/>
      <c r="B24" s="18"/>
      <c r="C24" s="18" t="s">
        <v>189</v>
      </c>
      <c r="D24" s="7"/>
      <c r="E24" s="7"/>
      <c r="F24" s="7"/>
      <c r="G24" s="7"/>
      <c r="H24" s="99">
        <f>IF(C24="(Säkerhetsmodul Secure erf ej)","",1)</f>
        <v>1</v>
      </c>
      <c r="I24" s="99" t="str">
        <f>IF(C24="(Säkerhetsmodul Secure erf ej)","","st")</f>
        <v>st</v>
      </c>
      <c r="J24" s="18"/>
    </row>
    <row r="25" spans="1:10" ht="12.75" customHeight="1">
      <c r="A25" s="17"/>
      <c r="B25" s="18"/>
      <c r="C25" s="18"/>
      <c r="D25" s="7"/>
      <c r="E25" s="7"/>
      <c r="F25" s="7"/>
      <c r="G25" s="7"/>
      <c r="H25" s="18"/>
      <c r="I25" s="18"/>
      <c r="J25" s="18"/>
    </row>
    <row r="26" spans="1:10" ht="12.75">
      <c r="A26" s="17"/>
      <c r="B26" s="18"/>
      <c r="C26" s="18">
        <f>IF(Beräkning!F7&gt;0,"Termisk temperaturbegränsare","")</f>
      </c>
      <c r="D26" s="7"/>
      <c r="E26" s="7"/>
      <c r="F26" s="22">
        <f>IF(G26="","","RSKnr")</f>
      </c>
      <c r="G26" s="22">
        <f>IF(C26&gt;"",5558077,"")</f>
      </c>
      <c r="H26" s="99">
        <f>IF(C26="","",1)</f>
      </c>
      <c r="I26" s="99">
        <f>IF(C26="","","st")</f>
      </c>
      <c r="J26" s="18"/>
    </row>
    <row r="27" spans="1:10" ht="12.75">
      <c r="A27" s="17"/>
      <c r="B27" s="18"/>
      <c r="C27" s="18"/>
      <c r="D27" s="7"/>
      <c r="E27" s="7"/>
      <c r="F27" s="7"/>
      <c r="G27" s="7"/>
      <c r="H27" s="18"/>
      <c r="I27" s="18"/>
      <c r="J27" s="18"/>
    </row>
    <row r="28" spans="1:10" ht="12.75">
      <c r="A28" s="17"/>
      <c r="B28" s="18"/>
      <c r="C28" s="18"/>
      <c r="D28" s="7"/>
      <c r="E28" s="7"/>
      <c r="F28" s="7"/>
      <c r="G28" s="7"/>
      <c r="H28" s="18"/>
      <c r="I28" s="18"/>
      <c r="J28" s="18"/>
    </row>
    <row r="29" spans="1:10" ht="12.75">
      <c r="A29" s="17"/>
      <c r="B29" s="18"/>
      <c r="C29" s="18"/>
      <c r="H29" s="18"/>
      <c r="I29" s="18"/>
      <c r="J29" s="18"/>
    </row>
    <row r="30" spans="1:10" ht="12.75">
      <c r="A30" s="17"/>
      <c r="B30" s="18"/>
      <c r="C30" s="20" t="s">
        <v>77</v>
      </c>
      <c r="D30" s="7"/>
      <c r="E30" s="7"/>
      <c r="F30" s="7"/>
      <c r="G30" s="7"/>
      <c r="H30" s="99"/>
      <c r="I30" s="99"/>
      <c r="J30" s="18"/>
    </row>
    <row r="31" spans="1:10" ht="12.75">
      <c r="A31" s="17"/>
      <c r="B31" s="18"/>
      <c r="C31" s="103" t="str">
        <f>IF(G31="","","Väggfäste")</f>
        <v>Väggfäste</v>
      </c>
      <c r="D31" s="7"/>
      <c r="E31" s="7"/>
      <c r="F31" s="22" t="str">
        <f>IF(G31="","","RSKnr")</f>
        <v>RSKnr</v>
      </c>
      <c r="G31" s="22">
        <f>IF(Beräkning!G203=0,"",Beräkning!G203)</f>
        <v>5535281</v>
      </c>
      <c r="H31" s="104"/>
      <c r="I31" s="18"/>
      <c r="J31" s="18"/>
    </row>
    <row r="32" spans="1:10" ht="12.75">
      <c r="A32" s="17"/>
      <c r="B32" s="18"/>
      <c r="C32" s="18" t="s">
        <v>92</v>
      </c>
      <c r="D32" s="7"/>
      <c r="E32" s="7"/>
      <c r="F32" s="22" t="s">
        <v>75</v>
      </c>
      <c r="G32" s="22">
        <v>5535287</v>
      </c>
      <c r="H32" s="105"/>
      <c r="I32" s="99">
        <f>IF(H32="","","st")</f>
      </c>
      <c r="J32" s="18"/>
    </row>
    <row r="33" spans="1:10" ht="12.75">
      <c r="A33" s="17"/>
      <c r="B33" s="18"/>
      <c r="C33" s="18" t="s">
        <v>93</v>
      </c>
      <c r="D33" s="7"/>
      <c r="E33" s="7"/>
      <c r="F33" s="22" t="s">
        <v>75</v>
      </c>
      <c r="G33" s="22">
        <f>Beräkning!K203</f>
        <v>5535314</v>
      </c>
      <c r="H33" s="105"/>
      <c r="I33" s="99">
        <f>IF(H33="","","st")</f>
      </c>
      <c r="J33" s="18"/>
    </row>
    <row r="34" spans="1:10" ht="12.75">
      <c r="A34" s="17"/>
      <c r="B34" s="18"/>
      <c r="C34" s="18" t="s">
        <v>94</v>
      </c>
      <c r="D34" s="7"/>
      <c r="E34" s="7"/>
      <c r="F34" s="22" t="s">
        <v>75</v>
      </c>
      <c r="G34" s="22">
        <v>5535321</v>
      </c>
      <c r="H34" s="105"/>
      <c r="I34" s="99">
        <f>IF(H34="","","st")</f>
      </c>
      <c r="J34" s="18"/>
    </row>
    <row r="35" spans="1:10" ht="12.75">
      <c r="A35" s="17"/>
      <c r="B35" s="17"/>
      <c r="C35" s="18" t="s">
        <v>95</v>
      </c>
      <c r="D35" s="7"/>
      <c r="E35" s="7"/>
      <c r="F35" s="22" t="s">
        <v>75</v>
      </c>
      <c r="G35" s="22">
        <v>5535322</v>
      </c>
      <c r="H35" s="105"/>
      <c r="I35" s="99">
        <f>IF(H35="","","st")</f>
      </c>
      <c r="J35" s="18"/>
    </row>
    <row r="36" spans="1:9" ht="12.75">
      <c r="A36" s="17"/>
      <c r="B36" s="17"/>
      <c r="C36" s="18"/>
      <c r="G36" s="7"/>
      <c r="H36" s="17"/>
      <c r="I36" s="17"/>
    </row>
    <row r="37" spans="1:9" ht="12.75">
      <c r="A37" s="17"/>
      <c r="B37" s="17"/>
      <c r="C37" s="18"/>
      <c r="G37" s="77"/>
      <c r="H37" s="17"/>
      <c r="I37" s="17"/>
    </row>
    <row r="38" spans="1:9" ht="12.75">
      <c r="A38" s="17"/>
      <c r="B38" s="17"/>
      <c r="C38" s="18"/>
      <c r="G38" s="19"/>
      <c r="H38" s="17"/>
      <c r="I38" s="17"/>
    </row>
    <row r="39" spans="1:9" ht="12.75">
      <c r="A39" s="17"/>
      <c r="B39" s="17"/>
      <c r="C39" s="18"/>
      <c r="G39" s="19"/>
      <c r="H39" s="17"/>
      <c r="I39" s="17"/>
    </row>
    <row r="40" spans="1:9" ht="12.75">
      <c r="A40" s="17"/>
      <c r="B40" s="17"/>
      <c r="C40" s="18"/>
      <c r="D40" s="33" t="s">
        <v>96</v>
      </c>
      <c r="E40" s="35"/>
      <c r="F40" s="34"/>
      <c r="G40" s="19"/>
      <c r="H40" s="17"/>
      <c r="I40" s="17"/>
    </row>
    <row r="41" spans="1:9" ht="12.75">
      <c r="A41" s="18"/>
      <c r="B41" s="18"/>
      <c r="C41" s="18"/>
      <c r="D41" s="18"/>
      <c r="E41" s="7"/>
      <c r="F41" s="19"/>
      <c r="G41" s="7"/>
      <c r="H41" s="18"/>
      <c r="I41" s="17"/>
    </row>
    <row r="42" spans="1:9" ht="12.75">
      <c r="A42" s="18"/>
      <c r="B42" s="18"/>
      <c r="C42" s="18"/>
      <c r="D42" s="18" t="s">
        <v>97</v>
      </c>
      <c r="E42" s="7">
        <f>Beräkning!F5+Beräkning!F6+Beräkning!F7</f>
        <v>0</v>
      </c>
      <c r="F42" s="19" t="s">
        <v>5</v>
      </c>
      <c r="H42" s="18"/>
      <c r="I42" s="17"/>
    </row>
    <row r="43" spans="1:9" ht="12.75">
      <c r="A43" s="18"/>
      <c r="B43" s="18"/>
      <c r="C43" s="18"/>
      <c r="D43" s="18" t="s">
        <v>98</v>
      </c>
      <c r="E43" s="8">
        <f>Beräkning!C52</f>
        <v>0</v>
      </c>
      <c r="F43" s="19" t="s">
        <v>10</v>
      </c>
      <c r="H43" s="18"/>
      <c r="I43" s="17"/>
    </row>
    <row r="44" spans="1:9" ht="14.25">
      <c r="A44" s="18"/>
      <c r="B44" s="18"/>
      <c r="C44" s="18"/>
      <c r="D44" s="18" t="s">
        <v>99</v>
      </c>
      <c r="E44" s="7">
        <f>Beräkning!E30</f>
        <v>80</v>
      </c>
      <c r="F44" s="50" t="s">
        <v>100</v>
      </c>
      <c r="H44" s="18"/>
      <c r="I44" s="17"/>
    </row>
    <row r="45" spans="1:9" ht="12.75">
      <c r="A45" s="18"/>
      <c r="B45" s="18"/>
      <c r="C45" s="18"/>
      <c r="D45" s="18" t="s">
        <v>101</v>
      </c>
      <c r="E45" s="7">
        <f>Beräkning!E33</f>
        <v>10</v>
      </c>
      <c r="F45" s="19" t="s">
        <v>30</v>
      </c>
      <c r="H45" s="18"/>
      <c r="I45" s="17"/>
    </row>
    <row r="46" spans="1:9" ht="12.75">
      <c r="A46" s="18"/>
      <c r="B46" s="18"/>
      <c r="C46" s="18"/>
      <c r="D46" s="18" t="s">
        <v>102</v>
      </c>
      <c r="E46" s="7">
        <f>Beräkning!E34</f>
        <v>2</v>
      </c>
      <c r="F46" s="19" t="s">
        <v>32</v>
      </c>
      <c r="H46" s="18"/>
      <c r="I46" s="17"/>
    </row>
    <row r="47" spans="1:9" ht="12.75">
      <c r="A47" s="18"/>
      <c r="B47" s="18"/>
      <c r="C47" s="18"/>
      <c r="D47" s="28" t="s">
        <v>105</v>
      </c>
      <c r="E47" s="25">
        <f>Beräkning!E31</f>
        <v>0</v>
      </c>
      <c r="F47" s="24" t="s">
        <v>50</v>
      </c>
      <c r="H47" s="18"/>
      <c r="I47" s="17"/>
    </row>
    <row r="48" spans="1:9" ht="12.75">
      <c r="A48" s="18"/>
      <c r="B48" s="18"/>
      <c r="C48" s="18"/>
      <c r="H48" s="18"/>
      <c r="I48" s="17"/>
    </row>
    <row r="49" spans="1:9" ht="12.75">
      <c r="A49" s="18"/>
      <c r="B49" s="18"/>
      <c r="C49" s="18"/>
      <c r="D49" s="33" t="s">
        <v>103</v>
      </c>
      <c r="E49" s="71">
        <f>Beräkning!C53</f>
        <v>0</v>
      </c>
      <c r="F49" s="34" t="s">
        <v>10</v>
      </c>
      <c r="H49" s="18"/>
      <c r="I49" s="17"/>
    </row>
    <row r="50" spans="1:9" ht="12.75">
      <c r="A50" s="28"/>
      <c r="B50" s="28"/>
      <c r="C50" s="28"/>
      <c r="D50" s="28" t="s">
        <v>104</v>
      </c>
      <c r="E50" s="53">
        <f>Beräkning!C57</f>
        <v>0</v>
      </c>
      <c r="F50" s="24" t="s">
        <v>10</v>
      </c>
      <c r="G50" s="25"/>
      <c r="H50" s="28"/>
      <c r="I50" s="23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96"/>
      <c r="H55" s="7"/>
      <c r="I55" s="7"/>
    </row>
  </sheetData>
  <sheetProtection/>
  <printOptions/>
  <pageMargins left="0.75" right="0.75" top="1" bottom="1" header="0.5" footer="0.5"/>
  <pageSetup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6"/>
  <sheetViews>
    <sheetView showGridLines="0" zoomScale="90" zoomScaleNormal="90" zoomScalePageLayoutView="0" workbookViewId="0" topLeftCell="A1">
      <selection activeCell="C24" sqref="C24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8515625" style="0" customWidth="1"/>
    <col min="5" max="5" width="7.8515625" style="0" customWidth="1"/>
  </cols>
  <sheetData>
    <row r="1" spans="1:2" ht="12.75">
      <c r="A1" s="26"/>
      <c r="B1" s="5"/>
    </row>
    <row r="2" spans="1:2" ht="12.75">
      <c r="A2" s="5" t="s">
        <v>80</v>
      </c>
      <c r="B2" s="16">
        <v>37670</v>
      </c>
    </row>
    <row r="5" spans="1:3" ht="20.25">
      <c r="A5" s="5"/>
      <c r="C5" s="39" t="s">
        <v>81</v>
      </c>
    </row>
    <row r="6" ht="14.25">
      <c r="C6" t="s">
        <v>184</v>
      </c>
    </row>
    <row r="7" ht="12.75">
      <c r="C7">
        <f>IF(Beräkning!L8=4,"Utrustningen är avsedd för El-panna","")</f>
      </c>
    </row>
    <row r="9" spans="3:4" ht="12.75">
      <c r="C9" t="s">
        <v>82</v>
      </c>
      <c r="D9" s="26"/>
    </row>
    <row r="11" spans="1:9" s="3" customFormat="1" ht="12.75">
      <c r="A11" s="44" t="s">
        <v>83</v>
      </c>
      <c r="B11" s="44" t="s">
        <v>84</v>
      </c>
      <c r="C11" s="45"/>
      <c r="D11" s="46"/>
      <c r="E11" s="46" t="s">
        <v>85</v>
      </c>
      <c r="F11" s="46"/>
      <c r="G11" s="47"/>
      <c r="H11" s="44" t="s">
        <v>86</v>
      </c>
      <c r="I11" s="44" t="s">
        <v>87</v>
      </c>
    </row>
    <row r="12" spans="1:9" ht="12.75">
      <c r="A12" s="17"/>
      <c r="B12" s="17"/>
      <c r="C12" s="18"/>
      <c r="D12" s="7"/>
      <c r="E12" s="7"/>
      <c r="F12" s="7"/>
      <c r="G12" s="19"/>
      <c r="H12" s="17"/>
      <c r="I12" s="17"/>
    </row>
    <row r="13" spans="1:9" ht="12.75">
      <c r="A13" s="27" t="s">
        <v>88</v>
      </c>
      <c r="B13" s="51"/>
      <c r="C13" s="20" t="s">
        <v>155</v>
      </c>
      <c r="D13" s="7"/>
      <c r="E13" s="7"/>
      <c r="F13" s="7"/>
      <c r="G13" s="19"/>
      <c r="H13" s="17"/>
      <c r="I13" s="17"/>
    </row>
    <row r="14" spans="1:9" ht="12.75">
      <c r="A14" s="17"/>
      <c r="B14" s="17"/>
      <c r="C14" s="86" t="s">
        <v>157</v>
      </c>
      <c r="D14" s="7"/>
      <c r="E14" s="7"/>
      <c r="F14" s="7"/>
      <c r="G14" s="19"/>
      <c r="H14" s="17"/>
      <c r="I14" s="17"/>
    </row>
    <row r="15" spans="1:9" ht="12.75">
      <c r="A15" s="17"/>
      <c r="B15" s="17"/>
      <c r="C15" s="20" t="s">
        <v>89</v>
      </c>
      <c r="D15" s="7"/>
      <c r="E15" s="3">
        <f>IF(Beräkning!Q7=3,Beräkning!D59,"")</f>
      </c>
      <c r="F15" s="7" t="s">
        <v>10</v>
      </c>
      <c r="H15" s="40">
        <v>1</v>
      </c>
      <c r="I15" s="21" t="s">
        <v>90</v>
      </c>
    </row>
    <row r="16" spans="1:9" ht="12.75">
      <c r="A16" s="17"/>
      <c r="B16" s="17"/>
      <c r="C16" s="20"/>
      <c r="D16" s="31" t="s">
        <v>91</v>
      </c>
      <c r="E16" s="32">
        <f>Beräkning!E33/10</f>
        <v>1</v>
      </c>
      <c r="F16" s="7" t="s">
        <v>32</v>
      </c>
      <c r="H16" s="21"/>
      <c r="I16" s="21"/>
    </row>
    <row r="17" spans="1:9" ht="12.75">
      <c r="A17" s="17"/>
      <c r="B17" s="17"/>
      <c r="E17" s="52">
        <f>IF(E15="Cirex","****Välj CIREX eller kontakta Beulco Armatur****","")</f>
      </c>
      <c r="F17" s="4">
        <f>IF(G17="","","RSKnr")</f>
      </c>
      <c r="G17" s="4">
        <f>IF(E15="","",Beräkning!F146)</f>
      </c>
      <c r="H17" s="27"/>
      <c r="I17" s="21"/>
    </row>
    <row r="18" spans="1:10" ht="12.75">
      <c r="A18" s="17"/>
      <c r="B18" s="17"/>
      <c r="E18" s="52">
        <f>IF(E15="går ej","****Välj CIREX eller kontakta Beulco Armatur****","")</f>
      </c>
      <c r="H18" s="18"/>
      <c r="I18" s="99"/>
      <c r="J18" s="18"/>
    </row>
    <row r="19" spans="1:10" ht="12.75" customHeight="1">
      <c r="A19" s="17"/>
      <c r="B19" s="18"/>
      <c r="C19" s="20" t="s">
        <v>106</v>
      </c>
      <c r="D19" s="7"/>
      <c r="E19" s="7"/>
      <c r="F19" s="22"/>
      <c r="G19" s="7"/>
      <c r="H19" s="18"/>
      <c r="I19" s="99"/>
      <c r="J19" s="18"/>
    </row>
    <row r="20" spans="1:10" ht="12.75" customHeight="1">
      <c r="A20" s="17"/>
      <c r="B20" s="18"/>
      <c r="C20" s="18" t="str">
        <f>IF(Beräkning!F5+Beräkning!F7=0,"(Ångsamlingskärl erfordras ej)","Ångsamlingsrör anslutning")</f>
        <v>(Ångsamlingskärl erfordras ej)</v>
      </c>
      <c r="D20" s="22"/>
      <c r="E20" s="41"/>
      <c r="F20" s="22"/>
      <c r="G20" s="7"/>
      <c r="H20" s="99">
        <f>IF(C20="(Ångsamlingskärl erfordras ej)","",1)</f>
      </c>
      <c r="I20" s="99" t="s">
        <v>90</v>
      </c>
      <c r="J20" s="18"/>
    </row>
    <row r="21" spans="1:10" ht="12.75" customHeight="1">
      <c r="A21" s="17"/>
      <c r="B21" s="18"/>
      <c r="C21" s="18" t="s">
        <v>107</v>
      </c>
      <c r="D21" s="7"/>
      <c r="E21" s="22">
        <f>IF(E15="","",Beräkning!H102)</f>
      </c>
      <c r="F21" s="31">
        <f>Beräkning!E34</f>
        <v>2</v>
      </c>
      <c r="G21" s="7" t="s">
        <v>32</v>
      </c>
      <c r="H21" s="99">
        <v>2</v>
      </c>
      <c r="I21" s="99" t="s">
        <v>90</v>
      </c>
      <c r="J21" s="18"/>
    </row>
    <row r="22" spans="1:10" ht="12.75" customHeight="1">
      <c r="A22" s="17"/>
      <c r="B22" s="18"/>
      <c r="C22" s="18" t="str">
        <f>IF(Beräkning!F5+Beräkning!F7=0,"(Säkerhetsmodul Secure erf ej)","Säkerhetsmodul Secure")</f>
        <v>(Säkerhetsmodul Secure erf ej)</v>
      </c>
      <c r="D22" s="7"/>
      <c r="E22" s="7"/>
      <c r="F22" s="7"/>
      <c r="G22" s="7"/>
      <c r="H22" s="99">
        <f>IF(C22="(Säkerhetsmodul Secure erf ej)","",1)</f>
      </c>
      <c r="I22" s="99">
        <f>IF(C22="(Säkerhetsmodul Secure erf ej)","","st")</f>
      </c>
      <c r="J22" s="18"/>
    </row>
    <row r="23" spans="1:10" ht="12.75" customHeight="1">
      <c r="A23" s="17"/>
      <c r="B23" s="18"/>
      <c r="C23" s="18" t="s">
        <v>188</v>
      </c>
      <c r="D23" s="7"/>
      <c r="E23" s="7"/>
      <c r="F23" s="7"/>
      <c r="G23" s="7"/>
      <c r="H23" s="99"/>
      <c r="I23" s="99"/>
      <c r="J23" s="18"/>
    </row>
    <row r="24" spans="1:10" ht="12.75" customHeight="1">
      <c r="A24" s="17"/>
      <c r="B24" s="18"/>
      <c r="C24" s="18" t="s">
        <v>189</v>
      </c>
      <c r="D24" s="7"/>
      <c r="E24" s="7"/>
      <c r="F24" s="7"/>
      <c r="G24" s="7"/>
      <c r="H24" s="99">
        <f>IF(C24="(Säkerhetsmodul Secure erf ej)","",1)</f>
        <v>1</v>
      </c>
      <c r="I24" s="99" t="str">
        <f>IF(C24="(Säkerhetsmodul Secure erf ej)","","st")</f>
        <v>st</v>
      </c>
      <c r="J24" s="18"/>
    </row>
    <row r="25" spans="1:10" ht="12.75" customHeight="1">
      <c r="A25" s="17"/>
      <c r="B25" s="18"/>
      <c r="C25" s="18" t="s">
        <v>108</v>
      </c>
      <c r="D25" s="7"/>
      <c r="E25" s="7"/>
      <c r="F25" s="7"/>
      <c r="G25" s="7"/>
      <c r="H25" s="18"/>
      <c r="I25" s="18"/>
      <c r="J25" s="18"/>
    </row>
    <row r="26" spans="1:10" ht="12.75">
      <c r="A26" s="17"/>
      <c r="B26" s="18"/>
      <c r="C26" s="18" t="s">
        <v>163</v>
      </c>
      <c r="D26" s="7"/>
      <c r="E26" s="7"/>
      <c r="F26" s="7"/>
      <c r="G26" s="7"/>
      <c r="H26" s="18"/>
      <c r="I26" s="18"/>
      <c r="J26" s="18"/>
    </row>
    <row r="27" spans="1:10" ht="12.75">
      <c r="A27" s="17"/>
      <c r="B27" s="18"/>
      <c r="C27" s="18"/>
      <c r="D27" s="7"/>
      <c r="E27" s="7"/>
      <c r="F27" s="7"/>
      <c r="G27" s="7"/>
      <c r="H27" s="99"/>
      <c r="I27" s="99"/>
      <c r="J27" s="18"/>
    </row>
    <row r="28" spans="1:10" ht="12.75">
      <c r="A28" s="17"/>
      <c r="B28" s="18"/>
      <c r="C28" s="18">
        <f>IF(Beräkning!F7&gt;0,"Termisk temperaturbegränsare","")</f>
      </c>
      <c r="D28" s="7"/>
      <c r="E28" s="7"/>
      <c r="F28" s="22">
        <f>IF(G28="","","RSKnr")</f>
      </c>
      <c r="G28" s="22">
        <f>IF(C28&gt;"",5558077,"")</f>
      </c>
      <c r="H28" s="99">
        <f>IF(C28="","",1)</f>
      </c>
      <c r="I28" s="99">
        <f>IF(C28="","","st")</f>
      </c>
      <c r="J28" s="18"/>
    </row>
    <row r="29" spans="1:10" ht="12.75">
      <c r="A29" s="17"/>
      <c r="B29" s="18"/>
      <c r="C29" s="18"/>
      <c r="D29" s="7"/>
      <c r="E29" s="7"/>
      <c r="F29" s="7"/>
      <c r="G29" s="7"/>
      <c r="H29" s="18"/>
      <c r="I29" s="18"/>
      <c r="J29" s="18"/>
    </row>
    <row r="30" spans="1:10" ht="12.75">
      <c r="A30" s="17"/>
      <c r="B30" s="18"/>
      <c r="C30" s="20" t="s">
        <v>77</v>
      </c>
      <c r="D30" s="7"/>
      <c r="E30" s="7"/>
      <c r="F30" s="7"/>
      <c r="G30" s="7"/>
      <c r="H30" s="18"/>
      <c r="I30" s="18"/>
      <c r="J30" s="18"/>
    </row>
    <row r="31" spans="1:10" ht="12.75">
      <c r="A31" s="17"/>
      <c r="B31" s="18"/>
      <c r="C31" s="103" t="str">
        <f>IF(G31="","","Väggfäste")</f>
        <v>Väggfäste</v>
      </c>
      <c r="D31" s="7"/>
      <c r="E31" s="7"/>
      <c r="F31" s="22" t="str">
        <f>IF(G31="","","RSKnr")</f>
        <v>RSKnr</v>
      </c>
      <c r="G31" s="22">
        <f>IF(Beräkning!G203=0,"",Beräkning!G203)</f>
        <v>5535281</v>
      </c>
      <c r="H31" s="105"/>
      <c r="I31" s="99">
        <f>IF(H31="","","st")</f>
      </c>
      <c r="J31" s="18"/>
    </row>
    <row r="32" spans="1:10" ht="12.75">
      <c r="A32" s="17"/>
      <c r="B32" s="18"/>
      <c r="C32" s="18" t="s">
        <v>92</v>
      </c>
      <c r="D32" s="7"/>
      <c r="E32" s="7"/>
      <c r="F32" s="22" t="s">
        <v>75</v>
      </c>
      <c r="G32" s="22">
        <v>5535287</v>
      </c>
      <c r="H32" s="105"/>
      <c r="I32" s="99">
        <f>IF(H32="","","st")</f>
      </c>
      <c r="J32" s="18"/>
    </row>
    <row r="33" spans="1:10" ht="12.75">
      <c r="A33" s="17"/>
      <c r="B33" s="18"/>
      <c r="C33" s="18" t="s">
        <v>93</v>
      </c>
      <c r="D33" s="7"/>
      <c r="E33" s="7"/>
      <c r="F33" s="22" t="s">
        <v>75</v>
      </c>
      <c r="G33" s="22">
        <f>Beräkning!K203</f>
        <v>5535314</v>
      </c>
      <c r="H33" s="105"/>
      <c r="I33" s="99">
        <f>IF(H33="","","st")</f>
      </c>
      <c r="J33" s="18"/>
    </row>
    <row r="34" spans="1:10" ht="12.75">
      <c r="A34" s="17"/>
      <c r="B34" s="18"/>
      <c r="C34" s="18" t="s">
        <v>94</v>
      </c>
      <c r="D34" s="7"/>
      <c r="E34" s="7"/>
      <c r="F34" s="22" t="s">
        <v>75</v>
      </c>
      <c r="G34" s="22">
        <v>5535321</v>
      </c>
      <c r="H34" s="105"/>
      <c r="I34" s="99">
        <f>IF(H34="","","st")</f>
      </c>
      <c r="J34" s="18"/>
    </row>
    <row r="35" spans="1:10" ht="12.75">
      <c r="A35" s="17"/>
      <c r="B35" s="18"/>
      <c r="C35" s="18" t="s">
        <v>95</v>
      </c>
      <c r="D35" s="7"/>
      <c r="E35" s="7"/>
      <c r="F35" s="22" t="s">
        <v>75</v>
      </c>
      <c r="G35" s="22">
        <v>5535322</v>
      </c>
      <c r="H35" s="105"/>
      <c r="I35" s="99">
        <f>IF(H35="","","st")</f>
      </c>
      <c r="J35" s="18"/>
    </row>
    <row r="36" spans="1:10" ht="12.75">
      <c r="A36" s="17"/>
      <c r="B36" s="17"/>
      <c r="C36" s="18"/>
      <c r="G36" s="7"/>
      <c r="H36" s="18"/>
      <c r="I36" s="18"/>
      <c r="J36" s="18"/>
    </row>
    <row r="37" spans="1:10" ht="12.75">
      <c r="A37" s="17"/>
      <c r="B37" s="17"/>
      <c r="C37" s="18"/>
      <c r="G37" s="7"/>
      <c r="H37" s="18"/>
      <c r="I37" s="18"/>
      <c r="J37" s="18"/>
    </row>
    <row r="38" spans="1:9" ht="12.75">
      <c r="A38" s="17"/>
      <c r="B38" s="17"/>
      <c r="C38" s="18"/>
      <c r="G38" s="87"/>
      <c r="H38" s="18"/>
      <c r="I38" s="17"/>
    </row>
    <row r="39" spans="1:9" ht="12.75">
      <c r="A39" s="17"/>
      <c r="B39" s="17"/>
      <c r="C39" s="18"/>
      <c r="G39" s="19"/>
      <c r="H39" s="17"/>
      <c r="I39" s="17"/>
    </row>
    <row r="40" spans="1:9" ht="12.75">
      <c r="A40" s="17"/>
      <c r="B40" s="17"/>
      <c r="C40" s="18"/>
      <c r="D40" s="33" t="s">
        <v>96</v>
      </c>
      <c r="E40" s="35"/>
      <c r="F40" s="34"/>
      <c r="G40" s="19"/>
      <c r="H40" s="17"/>
      <c r="I40" s="17"/>
    </row>
    <row r="41" spans="1:9" ht="12.75">
      <c r="A41" s="18"/>
      <c r="B41" s="18"/>
      <c r="C41" s="18"/>
      <c r="D41" s="18"/>
      <c r="E41" s="7"/>
      <c r="F41" s="19"/>
      <c r="G41" s="7"/>
      <c r="H41" s="18"/>
      <c r="I41" s="17"/>
    </row>
    <row r="42" spans="1:9" ht="12.75">
      <c r="A42" s="18"/>
      <c r="B42" s="18"/>
      <c r="C42" s="18"/>
      <c r="D42" s="18" t="s">
        <v>97</v>
      </c>
      <c r="E42" s="7">
        <f>Beräkning!F5+Beräkning!F6+Beräkning!F7</f>
        <v>0</v>
      </c>
      <c r="F42" s="19" t="s">
        <v>5</v>
      </c>
      <c r="H42" s="18"/>
      <c r="I42" s="17"/>
    </row>
    <row r="43" spans="1:9" ht="12.75">
      <c r="A43" s="18"/>
      <c r="B43" s="18"/>
      <c r="C43" s="18"/>
      <c r="D43" s="18" t="s">
        <v>98</v>
      </c>
      <c r="E43" s="8">
        <f>Beräkning!C52</f>
        <v>0</v>
      </c>
      <c r="F43" s="19" t="s">
        <v>10</v>
      </c>
      <c r="H43" s="18"/>
      <c r="I43" s="17"/>
    </row>
    <row r="44" spans="1:9" ht="14.25">
      <c r="A44" s="18"/>
      <c r="B44" s="18"/>
      <c r="C44" s="18"/>
      <c r="D44" s="18" t="s">
        <v>99</v>
      </c>
      <c r="E44" s="7">
        <f>Beräkning!E30</f>
        <v>80</v>
      </c>
      <c r="F44" s="79" t="s">
        <v>100</v>
      </c>
      <c r="H44" s="18"/>
      <c r="I44" s="17"/>
    </row>
    <row r="45" spans="1:9" ht="12.75">
      <c r="A45" s="18"/>
      <c r="B45" s="18"/>
      <c r="C45" s="18"/>
      <c r="D45" s="18" t="s">
        <v>101</v>
      </c>
      <c r="E45" s="7">
        <f>Beräkning!E33</f>
        <v>10</v>
      </c>
      <c r="F45" s="19" t="s">
        <v>30</v>
      </c>
      <c r="H45" s="18"/>
      <c r="I45" s="17"/>
    </row>
    <row r="46" spans="1:9" ht="12.75">
      <c r="A46" s="18"/>
      <c r="B46" s="18"/>
      <c r="C46" s="18"/>
      <c r="D46" s="18" t="s">
        <v>102</v>
      </c>
      <c r="E46" s="7">
        <f>Beräkning!E34</f>
        <v>2</v>
      </c>
      <c r="F46" s="19" t="s">
        <v>32</v>
      </c>
      <c r="H46" s="18"/>
      <c r="I46" s="17"/>
    </row>
    <row r="47" spans="1:9" ht="12.75">
      <c r="A47" s="18"/>
      <c r="B47" s="18"/>
      <c r="C47" s="18"/>
      <c r="D47" s="28" t="s">
        <v>105</v>
      </c>
      <c r="E47" s="25">
        <f>Beräkning!E31</f>
        <v>0</v>
      </c>
      <c r="F47" s="24" t="s">
        <v>50</v>
      </c>
      <c r="H47" s="18"/>
      <c r="I47" s="17"/>
    </row>
    <row r="48" spans="1:9" ht="12.75">
      <c r="A48" s="18"/>
      <c r="B48" s="18"/>
      <c r="C48" s="18"/>
      <c r="H48" s="18"/>
      <c r="I48" s="17"/>
    </row>
    <row r="49" spans="1:9" ht="12.75">
      <c r="A49" s="18"/>
      <c r="B49" s="18"/>
      <c r="C49" s="18"/>
      <c r="D49" s="33" t="s">
        <v>103</v>
      </c>
      <c r="E49" s="71">
        <f>Beräkning!C53</f>
        <v>0</v>
      </c>
      <c r="F49" s="34" t="s">
        <v>10</v>
      </c>
      <c r="H49" s="18"/>
      <c r="I49" s="17"/>
    </row>
    <row r="50" spans="1:9" ht="12.75">
      <c r="A50" s="28"/>
      <c r="B50" s="28"/>
      <c r="C50" s="28"/>
      <c r="D50" s="28" t="s">
        <v>104</v>
      </c>
      <c r="E50" s="53">
        <f>Beräkning!C57</f>
        <v>0</v>
      </c>
      <c r="F50" s="24" t="s">
        <v>10</v>
      </c>
      <c r="G50" s="25"/>
      <c r="H50" s="28"/>
      <c r="I50" s="23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7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96"/>
      <c r="H55" s="7"/>
      <c r="I55" s="8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showGridLines="0" zoomScale="90" zoomScaleNormal="90" zoomScalePageLayoutView="0" workbookViewId="0" topLeftCell="A35">
      <selection activeCell="E44" sqref="E44"/>
    </sheetView>
  </sheetViews>
  <sheetFormatPr defaultColWidth="9.140625" defaultRowHeight="12.75"/>
  <cols>
    <col min="1" max="1" width="10.140625" style="0" customWidth="1"/>
    <col min="2" max="2" width="12.140625" style="0" customWidth="1"/>
    <col min="3" max="3" width="10.8515625" style="0" customWidth="1"/>
    <col min="4" max="4" width="10.140625" style="0" customWidth="1"/>
    <col min="5" max="5" width="8.28125" style="0" customWidth="1"/>
    <col min="6" max="6" width="6.28125" style="0" customWidth="1"/>
    <col min="7" max="7" width="11.00390625" style="0" customWidth="1"/>
    <col min="9" max="9" width="8.28125" style="0" customWidth="1"/>
  </cols>
  <sheetData>
    <row r="1" ht="12.75">
      <c r="A1" s="43"/>
    </row>
    <row r="2" spans="1:2" ht="12.75">
      <c r="A2" s="42" t="s">
        <v>80</v>
      </c>
      <c r="B2" s="16">
        <v>37491</v>
      </c>
    </row>
    <row r="5" ht="20.25">
      <c r="C5" s="39" t="s">
        <v>109</v>
      </c>
    </row>
    <row r="6" ht="12.75">
      <c r="E6" s="4" t="s">
        <v>181</v>
      </c>
    </row>
    <row r="8" spans="3:4" ht="12.75">
      <c r="C8" t="s">
        <v>82</v>
      </c>
      <c r="D8" s="26" t="s">
        <v>173</v>
      </c>
    </row>
    <row r="9" ht="12.75">
      <c r="A9" s="29"/>
    </row>
    <row r="10" spans="1:9" s="3" customFormat="1" ht="12.75">
      <c r="A10" s="44" t="s">
        <v>83</v>
      </c>
      <c r="B10" s="44" t="s">
        <v>84</v>
      </c>
      <c r="C10" s="45"/>
      <c r="D10" s="46"/>
      <c r="E10" s="46" t="s">
        <v>85</v>
      </c>
      <c r="F10" s="46"/>
      <c r="G10" s="47"/>
      <c r="H10" s="44" t="s">
        <v>86</v>
      </c>
      <c r="I10" s="44" t="s">
        <v>87</v>
      </c>
    </row>
    <row r="11" spans="1:9" ht="12.75">
      <c r="A11" s="17"/>
      <c r="B11" s="17"/>
      <c r="C11" s="18"/>
      <c r="D11" s="7"/>
      <c r="E11" s="7"/>
      <c r="F11" s="7"/>
      <c r="G11" s="19"/>
      <c r="H11" s="17"/>
      <c r="I11" s="17"/>
    </row>
    <row r="12" spans="1:9" ht="12.75">
      <c r="A12" s="27" t="s">
        <v>110</v>
      </c>
      <c r="B12" s="51"/>
      <c r="C12" s="20" t="s">
        <v>158</v>
      </c>
      <c r="D12" s="7"/>
      <c r="E12" s="7"/>
      <c r="F12" s="7"/>
      <c r="G12" s="19"/>
      <c r="H12" s="17"/>
      <c r="I12" s="17"/>
    </row>
    <row r="13" spans="1:9" ht="12.75">
      <c r="A13" s="17"/>
      <c r="B13" s="17"/>
      <c r="C13" s="86" t="s">
        <v>157</v>
      </c>
      <c r="D13" s="7"/>
      <c r="E13" s="7"/>
      <c r="F13" s="7"/>
      <c r="G13" s="19"/>
      <c r="H13" s="17"/>
      <c r="I13" s="17"/>
    </row>
    <row r="14" spans="1:9" ht="12.75">
      <c r="A14" s="17"/>
      <c r="B14" s="17"/>
      <c r="C14" s="20" t="s">
        <v>111</v>
      </c>
      <c r="D14" s="7"/>
      <c r="F14" s="3">
        <f>IF(Beräkning!F5+Beräkning!F6+Beräkning!F7&gt;0,"",Beräkning!D72)</f>
        <v>200</v>
      </c>
      <c r="G14" s="7" t="s">
        <v>10</v>
      </c>
      <c r="H14" s="40">
        <v>1</v>
      </c>
      <c r="I14" s="21" t="s">
        <v>90</v>
      </c>
    </row>
    <row r="15" spans="1:9" ht="12.75">
      <c r="A15" s="17"/>
      <c r="B15" s="17"/>
      <c r="F15" s="4" t="str">
        <f>IF(G15="","","RSKnr")</f>
        <v>RSKnr</v>
      </c>
      <c r="G15" s="4">
        <f>IF(H14="","",Beräkning!F178)</f>
        <v>5524094</v>
      </c>
      <c r="H15" s="21"/>
      <c r="I15" s="17"/>
    </row>
    <row r="16" spans="1:9" ht="12.75">
      <c r="A16" s="17"/>
      <c r="B16" s="17"/>
      <c r="C16" s="30" t="s">
        <v>112</v>
      </c>
      <c r="H16" s="27"/>
      <c r="I16" s="17"/>
    </row>
    <row r="17" spans="1:9" ht="12.75">
      <c r="A17" s="17"/>
      <c r="B17" s="17"/>
      <c r="C17" t="s">
        <v>113</v>
      </c>
      <c r="D17" s="7"/>
      <c r="E17" s="7"/>
      <c r="F17" s="7"/>
      <c r="G17" s="19"/>
      <c r="H17" s="17"/>
      <c r="I17" s="17"/>
    </row>
    <row r="18" spans="1:9" ht="12.75">
      <c r="A18" s="17"/>
      <c r="B18" s="17"/>
      <c r="C18" s="18" t="s">
        <v>175</v>
      </c>
      <c r="F18" s="4"/>
      <c r="G18" s="19"/>
      <c r="H18" s="17"/>
      <c r="I18" s="17"/>
    </row>
    <row r="19" spans="1:9" ht="12.75">
      <c r="A19" s="17"/>
      <c r="B19" s="17"/>
      <c r="C19" t="s">
        <v>114</v>
      </c>
      <c r="D19" s="7"/>
      <c r="E19" s="4"/>
      <c r="F19" s="4"/>
      <c r="G19" s="19"/>
      <c r="H19" s="17"/>
      <c r="I19" s="17"/>
    </row>
    <row r="20" spans="1:9" ht="12.75">
      <c r="A20" s="17"/>
      <c r="B20" s="17"/>
      <c r="D20" s="7"/>
      <c r="E20" s="7"/>
      <c r="F20" s="22"/>
      <c r="G20" s="19"/>
      <c r="H20" s="17"/>
      <c r="I20" s="17"/>
    </row>
    <row r="21" spans="1:9" ht="12.75">
      <c r="A21" s="17"/>
      <c r="B21" s="17"/>
      <c r="C21" s="2" t="s">
        <v>115</v>
      </c>
      <c r="D21" s="7"/>
      <c r="E21" s="75" t="s">
        <v>116</v>
      </c>
      <c r="F21" s="75" t="str">
        <f>IF(Beräkning!E44=1,Beräkning!J178,Beräkning!J182)</f>
        <v>C-1-1-30</v>
      </c>
      <c r="G21" s="19"/>
      <c r="H21" s="40">
        <v>1</v>
      </c>
      <c r="I21" s="21" t="s">
        <v>90</v>
      </c>
    </row>
    <row r="22" spans="1:9" ht="12.75">
      <c r="A22" s="17"/>
      <c r="B22" s="17"/>
      <c r="C22" t="str">
        <f>IF(Beräkning!E45=1,"enkelpumputförande","dubbelpumputförande")</f>
        <v>enkelpumputförande</v>
      </c>
      <c r="F22" s="4" t="str">
        <f>IF(G22="","","RSKnr")</f>
        <v>RSKnr</v>
      </c>
      <c r="G22" s="4">
        <f>Beräkning!J187</f>
        <v>5524112</v>
      </c>
      <c r="H22" s="21"/>
      <c r="I22" s="21"/>
    </row>
    <row r="23" spans="1:9" ht="12.75">
      <c r="A23" s="17"/>
      <c r="B23" s="17"/>
      <c r="C23" s="74" t="s">
        <v>117</v>
      </c>
      <c r="D23" s="7"/>
      <c r="E23" s="22">
        <f>Beräkning!E35</f>
        <v>15</v>
      </c>
      <c r="F23" s="7" t="s">
        <v>118</v>
      </c>
      <c r="H23" s="21"/>
      <c r="I23" s="21"/>
    </row>
    <row r="24" spans="1:9" ht="12.75">
      <c r="A24" s="17"/>
      <c r="B24" s="17"/>
      <c r="C24" s="76" t="s">
        <v>119</v>
      </c>
      <c r="D24" s="7" t="str">
        <f>IF(Beräkning!E44=1,"1-fas 240 V","3-fas 400 V")</f>
        <v>1-fas 240 V</v>
      </c>
      <c r="E24" s="7"/>
      <c r="F24" s="7"/>
      <c r="G24" s="19"/>
      <c r="H24" s="21"/>
      <c r="I24" s="21"/>
    </row>
    <row r="25" spans="1:9" ht="12.75">
      <c r="A25" s="17"/>
      <c r="B25" s="17"/>
      <c r="F25" s="7"/>
      <c r="G25" s="19"/>
      <c r="H25" s="17"/>
      <c r="I25" s="17"/>
    </row>
    <row r="26" spans="1:9" ht="12.75">
      <c r="A26" s="17"/>
      <c r="B26" s="17"/>
      <c r="C26" s="6" t="s">
        <v>120</v>
      </c>
      <c r="D26" s="7"/>
      <c r="E26" s="7"/>
      <c r="G26" s="19"/>
      <c r="H26" s="17"/>
      <c r="I26" s="17"/>
    </row>
    <row r="27" spans="1:9" ht="12.75">
      <c r="A27" s="17"/>
      <c r="B27" s="17"/>
      <c r="C27" s="18" t="s">
        <v>121</v>
      </c>
      <c r="D27" s="7"/>
      <c r="E27" s="22">
        <f>Beräkning!E34</f>
        <v>2</v>
      </c>
      <c r="F27" s="7" t="s">
        <v>32</v>
      </c>
      <c r="H27" s="21">
        <v>1</v>
      </c>
      <c r="I27" s="21" t="s">
        <v>90</v>
      </c>
    </row>
    <row r="28" spans="1:9" ht="12.75">
      <c r="A28" s="17"/>
      <c r="B28" s="17"/>
      <c r="H28" s="17"/>
      <c r="I28" s="17"/>
    </row>
    <row r="29" spans="1:9" ht="12.75">
      <c r="A29" s="17"/>
      <c r="B29" s="17"/>
      <c r="C29" s="30"/>
      <c r="D29" s="7"/>
      <c r="E29" s="7"/>
      <c r="F29" s="7"/>
      <c r="G29" s="19"/>
      <c r="H29" s="17"/>
      <c r="I29" s="17"/>
    </row>
    <row r="30" spans="1:9" ht="12.75">
      <c r="A30" s="17"/>
      <c r="B30" s="17"/>
      <c r="C30" s="18"/>
      <c r="D30" s="7"/>
      <c r="E30" s="7"/>
      <c r="F30" s="7"/>
      <c r="G30" s="77"/>
      <c r="H30" s="17"/>
      <c r="I30" s="17"/>
    </row>
    <row r="31" spans="1:9" ht="12.75">
      <c r="A31" s="17"/>
      <c r="B31" s="17"/>
      <c r="C31" s="18"/>
      <c r="D31" s="7"/>
      <c r="E31" s="7"/>
      <c r="F31" s="22"/>
      <c r="G31" s="62"/>
      <c r="H31" s="17"/>
      <c r="I31" s="17"/>
    </row>
    <row r="32" spans="1:9" ht="12.75">
      <c r="A32" s="17"/>
      <c r="B32" s="17"/>
      <c r="H32" s="17"/>
      <c r="I32" s="17"/>
    </row>
    <row r="33" spans="1:9" ht="12.75">
      <c r="A33" s="17"/>
      <c r="B33" s="17"/>
      <c r="C33" s="18"/>
      <c r="G33" s="19"/>
      <c r="H33" s="17"/>
      <c r="I33" s="17"/>
    </row>
    <row r="34" spans="1:9" ht="12.75">
      <c r="A34" s="17"/>
      <c r="B34" s="17"/>
      <c r="C34" s="18"/>
      <c r="G34" s="19"/>
      <c r="H34" s="17"/>
      <c r="I34" s="17"/>
    </row>
    <row r="35" spans="1:9" ht="12.75">
      <c r="A35" s="17"/>
      <c r="B35" s="17"/>
      <c r="C35" s="18"/>
      <c r="G35" s="19"/>
      <c r="H35" s="17"/>
      <c r="I35" s="17"/>
    </row>
    <row r="36" spans="1:9" ht="12.75">
      <c r="A36" s="17"/>
      <c r="B36" s="17"/>
      <c r="C36" s="18"/>
      <c r="G36" s="19"/>
      <c r="H36" s="17"/>
      <c r="I36" s="17"/>
    </row>
    <row r="37" spans="1:9" ht="12.75">
      <c r="A37" s="17"/>
      <c r="B37" s="17"/>
      <c r="C37" s="18"/>
      <c r="G37" s="19"/>
      <c r="H37" s="17"/>
      <c r="I37" s="17"/>
    </row>
    <row r="38" spans="1:9" ht="12.75">
      <c r="A38" s="17"/>
      <c r="B38" s="17"/>
      <c r="C38" s="18"/>
      <c r="G38" s="19"/>
      <c r="H38" s="17"/>
      <c r="I38" s="17"/>
    </row>
    <row r="39" spans="1:9" ht="12.75">
      <c r="A39" s="18"/>
      <c r="B39" s="18"/>
      <c r="C39" s="18"/>
      <c r="G39" s="7"/>
      <c r="H39" s="18"/>
      <c r="I39" s="17"/>
    </row>
    <row r="40" spans="1:9" ht="12.75">
      <c r="A40" s="18"/>
      <c r="B40" s="18"/>
      <c r="C40" s="18"/>
      <c r="H40" s="18"/>
      <c r="I40" s="17"/>
    </row>
    <row r="41" spans="1:9" ht="12.75">
      <c r="A41" s="18"/>
      <c r="B41" s="18"/>
      <c r="C41" s="18"/>
      <c r="H41" s="18"/>
      <c r="I41" s="17"/>
    </row>
    <row r="42" spans="1:9" ht="12.75">
      <c r="A42" s="18"/>
      <c r="B42" s="18"/>
      <c r="C42" s="18"/>
      <c r="D42" s="33" t="s">
        <v>96</v>
      </c>
      <c r="E42" s="35"/>
      <c r="F42" s="34"/>
      <c r="H42" s="18"/>
      <c r="I42" s="17"/>
    </row>
    <row r="43" spans="1:9" ht="12.75">
      <c r="A43" s="18"/>
      <c r="B43" s="18"/>
      <c r="C43" s="18"/>
      <c r="D43" s="18"/>
      <c r="E43" s="7"/>
      <c r="F43" s="19"/>
      <c r="H43" s="18"/>
      <c r="I43" s="17"/>
    </row>
    <row r="44" spans="1:9" ht="12.75">
      <c r="A44" s="18"/>
      <c r="B44" s="18"/>
      <c r="C44" s="18"/>
      <c r="D44" s="18" t="s">
        <v>97</v>
      </c>
      <c r="E44" s="7">
        <f>Beräkning!F8</f>
        <v>0</v>
      </c>
      <c r="F44" s="19" t="s">
        <v>5</v>
      </c>
      <c r="H44" s="18"/>
      <c r="I44" s="17"/>
    </row>
    <row r="45" spans="1:9" ht="12.75">
      <c r="A45" s="18"/>
      <c r="B45" s="18"/>
      <c r="C45" s="18"/>
      <c r="D45" s="18" t="s">
        <v>98</v>
      </c>
      <c r="E45" s="8">
        <f>Beräkning!C52</f>
        <v>0</v>
      </c>
      <c r="F45" s="19" t="s">
        <v>10</v>
      </c>
      <c r="H45" s="18"/>
      <c r="I45" s="17"/>
    </row>
    <row r="46" spans="1:9" ht="14.25">
      <c r="A46" s="18"/>
      <c r="B46" s="18"/>
      <c r="C46" s="18"/>
      <c r="D46" s="18" t="s">
        <v>99</v>
      </c>
      <c r="E46" s="7">
        <f>Beräkning!E30</f>
        <v>80</v>
      </c>
      <c r="F46" s="50" t="s">
        <v>100</v>
      </c>
      <c r="H46" s="18"/>
      <c r="I46" s="17"/>
    </row>
    <row r="47" spans="1:9" ht="12.75">
      <c r="A47" s="18"/>
      <c r="B47" s="18"/>
      <c r="C47" s="18"/>
      <c r="D47" s="18" t="s">
        <v>101</v>
      </c>
      <c r="E47" s="7">
        <f>Beräkning!E33</f>
        <v>10</v>
      </c>
      <c r="F47" s="19" t="s">
        <v>30</v>
      </c>
      <c r="H47" s="18"/>
      <c r="I47" s="17"/>
    </row>
    <row r="48" spans="1:9" ht="12.75">
      <c r="A48" s="18"/>
      <c r="B48" s="18"/>
      <c r="C48" s="18"/>
      <c r="D48" s="18" t="s">
        <v>102</v>
      </c>
      <c r="E48" s="7">
        <f>Beräkning!E34</f>
        <v>2</v>
      </c>
      <c r="F48" s="19" t="s">
        <v>32</v>
      </c>
      <c r="H48" s="18"/>
      <c r="I48" s="17"/>
    </row>
    <row r="49" spans="1:9" ht="12.75">
      <c r="A49" s="28"/>
      <c r="B49" s="28"/>
      <c r="C49" s="28"/>
      <c r="D49" s="28" t="s">
        <v>103</v>
      </c>
      <c r="E49" s="53">
        <f>Beräkning!C53</f>
        <v>0</v>
      </c>
      <c r="F49" s="24" t="s">
        <v>10</v>
      </c>
      <c r="G49" s="25"/>
      <c r="H49" s="28"/>
      <c r="I49" s="23"/>
    </row>
    <row r="50" spans="1:10" ht="12.7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ht="12.75">
      <c r="A51" s="7"/>
      <c r="B51" s="7"/>
      <c r="C51" s="7"/>
      <c r="D51" s="7"/>
      <c r="E51" s="7"/>
      <c r="F51" s="7"/>
      <c r="G51" s="96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</sheetData>
  <sheetProtection sheet="1" objects="1" scenarios="1"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12.00390625" style="0" customWidth="1"/>
    <col min="3" max="3" width="10.8515625" style="0" customWidth="1"/>
    <col min="4" max="4" width="10.140625" style="0" customWidth="1"/>
    <col min="5" max="5" width="8.28125" style="0" customWidth="1"/>
    <col min="6" max="6" width="6.28125" style="0" customWidth="1"/>
    <col min="7" max="7" width="11.00390625" style="0" customWidth="1"/>
  </cols>
  <sheetData>
    <row r="1" ht="12.75">
      <c r="A1" s="43"/>
    </row>
    <row r="2" spans="1:2" ht="12.75">
      <c r="A2" s="42" t="s">
        <v>80</v>
      </c>
      <c r="B2" s="16">
        <v>37475</v>
      </c>
    </row>
    <row r="5" ht="20.25">
      <c r="C5" s="39" t="s">
        <v>109</v>
      </c>
    </row>
    <row r="6" ht="14.25">
      <c r="C6" t="s">
        <v>184</v>
      </c>
    </row>
    <row r="9" spans="3:4" ht="12.75">
      <c r="C9" t="s">
        <v>82</v>
      </c>
      <c r="D9" s="26"/>
    </row>
    <row r="10" ht="12.75">
      <c r="A10" s="29"/>
    </row>
    <row r="11" spans="1:9" s="3" customFormat="1" ht="12.75">
      <c r="A11" s="44" t="s">
        <v>83</v>
      </c>
      <c r="B11" s="44" t="s">
        <v>84</v>
      </c>
      <c r="C11" s="45"/>
      <c r="D11" s="46"/>
      <c r="E11" s="46" t="s">
        <v>85</v>
      </c>
      <c r="F11" s="46"/>
      <c r="G11" s="47"/>
      <c r="H11" s="44" t="s">
        <v>86</v>
      </c>
      <c r="I11" s="44" t="s">
        <v>87</v>
      </c>
    </row>
    <row r="12" spans="1:9" ht="12.75">
      <c r="A12" s="17"/>
      <c r="B12" s="17"/>
      <c r="C12" s="18"/>
      <c r="D12" s="7"/>
      <c r="E12" s="7"/>
      <c r="F12" s="7"/>
      <c r="G12" s="19"/>
      <c r="H12" s="17"/>
      <c r="I12" s="17"/>
    </row>
    <row r="13" spans="1:9" ht="12.75">
      <c r="A13" s="27" t="s">
        <v>110</v>
      </c>
      <c r="B13" s="51"/>
      <c r="C13" s="20" t="s">
        <v>158</v>
      </c>
      <c r="D13" s="7"/>
      <c r="E13" s="7"/>
      <c r="F13" s="7"/>
      <c r="G13" s="19"/>
      <c r="H13" s="17"/>
      <c r="I13" s="17"/>
    </row>
    <row r="14" spans="1:9" ht="12.75">
      <c r="A14" s="17"/>
      <c r="B14" s="17"/>
      <c r="C14" s="86" t="s">
        <v>157</v>
      </c>
      <c r="D14" s="7"/>
      <c r="E14" s="7"/>
      <c r="F14" s="7"/>
      <c r="G14" s="19"/>
      <c r="H14" s="17"/>
      <c r="I14" s="17"/>
    </row>
    <row r="15" spans="1:9" ht="12.75">
      <c r="A15" s="17"/>
      <c r="B15" s="17"/>
      <c r="C15" s="20" t="s">
        <v>111</v>
      </c>
      <c r="D15" s="7"/>
      <c r="F15" s="3">
        <f>IF(Beräkning!F5+Beräkning!F6+Beräkning!F7&gt;0,Beräkning!D72,"")</f>
      </c>
      <c r="G15" s="7" t="s">
        <v>10</v>
      </c>
      <c r="H15" s="40">
        <v>1</v>
      </c>
      <c r="I15" s="21" t="s">
        <v>90</v>
      </c>
    </row>
    <row r="16" spans="1:9" ht="12.75">
      <c r="A16" s="17"/>
      <c r="B16" s="17"/>
      <c r="F16" s="4" t="str">
        <f>IF(G16="","","RSKnr")</f>
        <v>RSKnr</v>
      </c>
      <c r="G16" s="4">
        <f>IF(H15="","",Beräkning!F178)</f>
        <v>5524094</v>
      </c>
      <c r="H16" s="21"/>
      <c r="I16" s="17"/>
    </row>
    <row r="17" spans="1:9" ht="12.75">
      <c r="A17" s="17"/>
      <c r="B17" s="17"/>
      <c r="C17" s="30" t="s">
        <v>112</v>
      </c>
      <c r="H17" s="27"/>
      <c r="I17" s="17"/>
    </row>
    <row r="18" spans="1:9" ht="12.75">
      <c r="A18" s="17"/>
      <c r="B18" s="17"/>
      <c r="C18" t="s">
        <v>113</v>
      </c>
      <c r="D18" s="7"/>
      <c r="E18" s="7"/>
      <c r="F18" s="7"/>
      <c r="G18" s="19"/>
      <c r="H18" s="17"/>
      <c r="I18" s="17"/>
    </row>
    <row r="19" spans="1:9" ht="12.75">
      <c r="A19" s="17"/>
      <c r="B19" s="17"/>
      <c r="C19" s="18" t="s">
        <v>175</v>
      </c>
      <c r="F19" s="4"/>
      <c r="G19" s="19"/>
      <c r="H19" s="17"/>
      <c r="I19" s="17"/>
    </row>
    <row r="20" spans="1:9" ht="12.75">
      <c r="A20" s="17"/>
      <c r="B20" s="17"/>
      <c r="C20" t="s">
        <v>114</v>
      </c>
      <c r="D20" s="7"/>
      <c r="E20" s="4"/>
      <c r="F20" s="4"/>
      <c r="G20" s="19"/>
      <c r="H20" s="17"/>
      <c r="I20" s="17"/>
    </row>
    <row r="21" spans="1:9" ht="12.75">
      <c r="A21" s="17"/>
      <c r="B21" s="17"/>
      <c r="D21" s="7"/>
      <c r="E21" s="7"/>
      <c r="F21" s="22"/>
      <c r="G21" s="19"/>
      <c r="H21" s="17"/>
      <c r="I21" s="17"/>
    </row>
    <row r="22" spans="1:9" ht="15" customHeight="1">
      <c r="A22" s="17"/>
      <c r="B22" s="17"/>
      <c r="C22" s="2" t="s">
        <v>115</v>
      </c>
      <c r="D22" s="7"/>
      <c r="E22" s="75" t="s">
        <v>116</v>
      </c>
      <c r="F22" s="75" t="str">
        <f>IF(Beräkning!E44=1,Beräkning!J178,Beräkning!J182)</f>
        <v>C-1-1-30</v>
      </c>
      <c r="G22" s="19"/>
      <c r="H22" s="40">
        <v>1</v>
      </c>
      <c r="I22" s="21" t="s">
        <v>90</v>
      </c>
    </row>
    <row r="23" spans="1:9" ht="12.75">
      <c r="A23" s="17"/>
      <c r="B23" s="17"/>
      <c r="C23" t="str">
        <f>IF(Beräkning!E45=1,"enkelpumputförande","dubbelpumputförande")</f>
        <v>enkelpumputförande</v>
      </c>
      <c r="F23" s="4" t="str">
        <f>IF(G23="","","RSKnr")</f>
        <v>RSKnr</v>
      </c>
      <c r="G23" s="4">
        <f>Beräkning!J187</f>
        <v>5524112</v>
      </c>
      <c r="H23" s="21"/>
      <c r="I23" s="21"/>
    </row>
    <row r="24" spans="1:9" ht="12.75">
      <c r="A24" s="17"/>
      <c r="B24" s="17"/>
      <c r="C24" s="74" t="s">
        <v>117</v>
      </c>
      <c r="D24" s="7"/>
      <c r="E24" s="22">
        <f>Beräkning!E35</f>
        <v>15</v>
      </c>
      <c r="F24" s="7" t="s">
        <v>118</v>
      </c>
      <c r="H24" s="21"/>
      <c r="I24" s="21"/>
    </row>
    <row r="25" spans="1:9" ht="12.75">
      <c r="A25" s="17"/>
      <c r="B25" s="17"/>
      <c r="C25" s="76" t="s">
        <v>119</v>
      </c>
      <c r="D25" s="7" t="str">
        <f>IF(Beräkning!E44=1,"1-fas 240 V","3-fas 400 V")</f>
        <v>1-fas 240 V</v>
      </c>
      <c r="E25" s="7"/>
      <c r="F25" s="7"/>
      <c r="G25" s="19"/>
      <c r="H25" s="21"/>
      <c r="I25" s="21"/>
    </row>
    <row r="26" spans="1:9" ht="12.75">
      <c r="A26" s="17"/>
      <c r="B26" s="17"/>
      <c r="F26" s="7"/>
      <c r="G26" s="19"/>
      <c r="H26" s="17"/>
      <c r="I26" s="17"/>
    </row>
    <row r="27" spans="1:9" ht="12.75">
      <c r="A27" s="17"/>
      <c r="B27" s="17"/>
      <c r="C27" s="30" t="s">
        <v>122</v>
      </c>
      <c r="D27" s="7"/>
      <c r="E27" s="7"/>
      <c r="F27" s="7"/>
      <c r="G27" s="19"/>
      <c r="H27" s="17"/>
      <c r="I27" s="17"/>
    </row>
    <row r="28" spans="1:9" ht="12.75">
      <c r="A28" s="17"/>
      <c r="B28" s="17"/>
      <c r="C28" s="18" t="s">
        <v>123</v>
      </c>
      <c r="D28" s="7"/>
      <c r="E28" s="7"/>
      <c r="F28" s="7"/>
      <c r="G28" s="77"/>
      <c r="H28" s="17"/>
      <c r="I28" s="17"/>
    </row>
    <row r="29" spans="1:9" ht="12.75">
      <c r="A29" s="17"/>
      <c r="B29" s="17"/>
      <c r="C29" s="18" t="s">
        <v>93</v>
      </c>
      <c r="D29" s="7"/>
      <c r="E29" s="7"/>
      <c r="F29" s="22" t="s">
        <v>75</v>
      </c>
      <c r="G29" s="62">
        <f>Beräkning!K203</f>
        <v>5535314</v>
      </c>
      <c r="H29" s="17"/>
      <c r="I29" s="17"/>
    </row>
    <row r="30" spans="1:9" ht="12.75">
      <c r="A30" s="17"/>
      <c r="B30" s="17"/>
      <c r="H30" s="17"/>
      <c r="I30" s="17"/>
    </row>
    <row r="31" spans="1:9" ht="12.75">
      <c r="A31" s="17"/>
      <c r="B31" s="17"/>
      <c r="H31" s="17"/>
      <c r="I31" s="17"/>
    </row>
    <row r="32" spans="1:9" ht="12.75">
      <c r="A32" s="17"/>
      <c r="B32" s="17"/>
      <c r="C32" s="2" t="s">
        <v>106</v>
      </c>
      <c r="F32" s="4"/>
      <c r="H32" s="17"/>
      <c r="I32" s="17"/>
    </row>
    <row r="33" spans="1:9" ht="12.75">
      <c r="A33" s="17"/>
      <c r="B33" s="17"/>
      <c r="C33" t="str">
        <f>IF(H34=1,"","Ångsamlingsrör  ansl")</f>
        <v>Ångsamlingsrör  ansl</v>
      </c>
      <c r="D33" s="4"/>
      <c r="E33" s="41"/>
      <c r="F33" s="4"/>
      <c r="G33" s="19"/>
      <c r="H33" s="21">
        <f>IF(H34=1,"",1)</f>
        <v>1</v>
      </c>
      <c r="I33" s="21" t="str">
        <f>IF(H34=1,"","st")</f>
        <v>st</v>
      </c>
    </row>
    <row r="34" spans="1:9" ht="12.75">
      <c r="A34" s="17"/>
      <c r="B34" s="17"/>
      <c r="C34" t="s">
        <v>107</v>
      </c>
      <c r="E34" s="22">
        <f>IF(F15="","",Beräkning!H102)</f>
      </c>
      <c r="F34" s="31">
        <f>Beräkning!E34</f>
        <v>2</v>
      </c>
      <c r="G34" s="19" t="s">
        <v>32</v>
      </c>
      <c r="H34" s="21">
        <v>2</v>
      </c>
      <c r="I34" s="21" t="s">
        <v>90</v>
      </c>
    </row>
    <row r="35" spans="1:9" ht="12.75">
      <c r="A35" s="17"/>
      <c r="B35" s="17"/>
      <c r="C35" t="str">
        <f>IF(H34=1,"","Säkerhetsmodul Secure")</f>
        <v>Säkerhetsmodul Secure</v>
      </c>
      <c r="E35" s="7"/>
      <c r="F35" s="7"/>
      <c r="G35" s="19"/>
      <c r="H35" s="21">
        <f>IF(H34=1,"",1)</f>
        <v>1</v>
      </c>
      <c r="I35" s="21" t="str">
        <f>IF(H34=1,"","st")</f>
        <v>st</v>
      </c>
    </row>
    <row r="36" spans="1:9" ht="12.75">
      <c r="A36" s="17"/>
      <c r="B36" s="17"/>
      <c r="C36" t="s">
        <v>178</v>
      </c>
      <c r="E36" s="7"/>
      <c r="F36" s="7"/>
      <c r="G36" s="19"/>
      <c r="H36" s="21"/>
      <c r="I36" s="21"/>
    </row>
    <row r="37" spans="1:9" ht="12.75">
      <c r="A37" s="17"/>
      <c r="B37" s="17"/>
      <c r="C37" t="s">
        <v>179</v>
      </c>
      <c r="E37" s="7"/>
      <c r="F37" s="7"/>
      <c r="G37" s="19"/>
      <c r="H37" s="21"/>
      <c r="I37" s="21"/>
    </row>
    <row r="38" spans="1:9" ht="12.75">
      <c r="A38" s="17"/>
      <c r="B38" s="17"/>
      <c r="C38" t="s">
        <v>180</v>
      </c>
      <c r="E38" s="7"/>
      <c r="F38" s="7"/>
      <c r="G38" s="19"/>
      <c r="H38" s="17"/>
      <c r="I38" s="17"/>
    </row>
    <row r="39" spans="1:9" ht="12.75">
      <c r="A39" s="17"/>
      <c r="B39" s="17"/>
      <c r="C39" s="18"/>
      <c r="E39" s="7"/>
      <c r="F39" s="7"/>
      <c r="G39" s="19"/>
      <c r="H39" s="17"/>
      <c r="I39" s="17"/>
    </row>
    <row r="40" spans="1:9" ht="12.75">
      <c r="A40" s="18"/>
      <c r="B40" s="18"/>
      <c r="C40" s="18" t="str">
        <f>IF(H34=1,"","Avspänningskärl i vissa fall")</f>
        <v>Avspänningskärl i vissa fall</v>
      </c>
      <c r="H40" s="18"/>
      <c r="I40" s="17"/>
    </row>
    <row r="41" spans="1:9" ht="12.75">
      <c r="A41" s="18"/>
      <c r="B41" s="18"/>
      <c r="C41" s="18" t="str">
        <f>IF(H34=1,"","(kontakta Beulco Armatur för dimensionering)")</f>
        <v>(kontakta Beulco Armatur för dimensionering)</v>
      </c>
      <c r="H41" s="18"/>
      <c r="I41" s="17"/>
    </row>
    <row r="42" spans="1:9" ht="12.75">
      <c r="A42" s="18"/>
      <c r="B42" s="17"/>
      <c r="G42" s="19"/>
      <c r="H42" s="19"/>
      <c r="I42" s="19"/>
    </row>
    <row r="43" spans="1:9" ht="12.75">
      <c r="A43" s="18"/>
      <c r="B43" s="18"/>
      <c r="C43" s="18"/>
      <c r="D43" s="33" t="s">
        <v>96</v>
      </c>
      <c r="E43" s="35"/>
      <c r="F43" s="34"/>
      <c r="H43" s="18"/>
      <c r="I43" s="17"/>
    </row>
    <row r="44" spans="1:9" ht="12.75">
      <c r="A44" s="18"/>
      <c r="B44" s="18"/>
      <c r="C44" s="18"/>
      <c r="D44" s="18"/>
      <c r="E44" s="7"/>
      <c r="F44" s="19"/>
      <c r="H44" s="18"/>
      <c r="I44" s="17"/>
    </row>
    <row r="45" spans="1:9" ht="12.75">
      <c r="A45" s="18"/>
      <c r="B45" s="18"/>
      <c r="C45" s="18"/>
      <c r="D45" s="18" t="s">
        <v>97</v>
      </c>
      <c r="E45" s="7">
        <f>Beräkning!F5+Beräkning!F6+Beräkning!F7</f>
        <v>0</v>
      </c>
      <c r="F45" s="19" t="s">
        <v>5</v>
      </c>
      <c r="H45" s="18"/>
      <c r="I45" s="17"/>
    </row>
    <row r="46" spans="1:9" ht="12.75">
      <c r="A46" s="18"/>
      <c r="B46" s="18"/>
      <c r="C46" s="18"/>
      <c r="D46" s="18" t="s">
        <v>98</v>
      </c>
      <c r="E46" s="8">
        <f>Beräkning!C52</f>
        <v>0</v>
      </c>
      <c r="F46" s="19" t="s">
        <v>10</v>
      </c>
      <c r="H46" s="18"/>
      <c r="I46" s="17"/>
    </row>
    <row r="47" spans="1:9" ht="14.25">
      <c r="A47" s="18"/>
      <c r="B47" s="18"/>
      <c r="C47" s="18"/>
      <c r="D47" s="18" t="s">
        <v>99</v>
      </c>
      <c r="E47" s="7">
        <f>Beräkning!E30</f>
        <v>80</v>
      </c>
      <c r="F47" s="50" t="s">
        <v>100</v>
      </c>
      <c r="H47" s="18"/>
      <c r="I47" s="17"/>
    </row>
    <row r="48" spans="1:9" ht="12.75">
      <c r="A48" s="18"/>
      <c r="B48" s="18"/>
      <c r="C48" s="18"/>
      <c r="D48" s="18" t="s">
        <v>101</v>
      </c>
      <c r="E48" s="7">
        <f>Beräkning!E33</f>
        <v>10</v>
      </c>
      <c r="F48" s="19" t="s">
        <v>30</v>
      </c>
      <c r="H48" s="18"/>
      <c r="I48" s="17"/>
    </row>
    <row r="49" spans="1:9" ht="12.75">
      <c r="A49" s="18"/>
      <c r="B49" s="18"/>
      <c r="C49" s="18"/>
      <c r="D49" s="18" t="s">
        <v>102</v>
      </c>
      <c r="E49" s="7">
        <f>Beräkning!E34</f>
        <v>2</v>
      </c>
      <c r="F49" s="19" t="s">
        <v>32</v>
      </c>
      <c r="H49" s="18"/>
      <c r="I49" s="17"/>
    </row>
    <row r="50" spans="1:9" ht="12.75">
      <c r="A50" s="28"/>
      <c r="B50" s="28"/>
      <c r="C50" s="28"/>
      <c r="D50" s="28" t="s">
        <v>103</v>
      </c>
      <c r="E50" s="53">
        <f>Beräkning!C53</f>
        <v>0</v>
      </c>
      <c r="F50" s="24" t="s">
        <v>10</v>
      </c>
      <c r="G50" s="25"/>
      <c r="H50" s="23"/>
      <c r="I50" s="23"/>
    </row>
    <row r="51" spans="1:9" ht="12.75">
      <c r="A51" s="7"/>
      <c r="B51" s="7"/>
      <c r="C51" s="7"/>
      <c r="D51" s="7"/>
      <c r="E51" s="7"/>
      <c r="F51" s="7"/>
      <c r="G51" s="7"/>
      <c r="H51" s="7"/>
      <c r="I51" s="7"/>
    </row>
    <row r="52" spans="1:9" ht="12.75">
      <c r="A52" s="7"/>
      <c r="B52" s="7"/>
      <c r="C52" s="7"/>
      <c r="D52" s="7"/>
      <c r="E52" s="7"/>
      <c r="F52" s="7"/>
      <c r="G52" s="96"/>
      <c r="H52" s="7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68"/>
  <sheetViews>
    <sheetView showGridLines="0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10.140625" style="0" customWidth="1"/>
    <col min="2" max="2" width="11.140625" style="0" customWidth="1"/>
    <col min="3" max="3" width="10.8515625" style="0" customWidth="1"/>
    <col min="5" max="5" width="9.421875" style="0" customWidth="1"/>
    <col min="6" max="6" width="7.140625" style="0" customWidth="1"/>
  </cols>
  <sheetData>
    <row r="1" spans="1:10" ht="12.75">
      <c r="A1" s="26"/>
      <c r="B1" s="5"/>
      <c r="J1" s="7"/>
    </row>
    <row r="2" spans="1:10" ht="12.75">
      <c r="A2" s="5" t="s">
        <v>80</v>
      </c>
      <c r="B2" s="16">
        <v>38131</v>
      </c>
      <c r="J2" s="7"/>
    </row>
    <row r="3" ht="12.75">
      <c r="J3" s="7"/>
    </row>
    <row r="4" ht="12.75">
      <c r="J4" s="7"/>
    </row>
    <row r="5" spans="1:10" ht="20.25">
      <c r="A5" s="5"/>
      <c r="C5" s="39" t="s">
        <v>81</v>
      </c>
      <c r="J5" s="7"/>
    </row>
    <row r="6" spans="3:10" ht="12.75">
      <c r="C6" t="str">
        <f>IF(Beräkning!$Q$8=0,'IPX UC'!E6,IF(Beräkning!$Q$8=1,'IPX PC max 50 kW'!C6,IF(Beräkning!$Q$8=2,'IPX PC max 100 kW'!C6,'IPX PC max 2000 kW'!C6)))</f>
        <v>För undercentraler och kylsystem</v>
      </c>
      <c r="J6" s="7"/>
    </row>
    <row r="7" spans="3:10" ht="12.75">
      <c r="C7">
        <f>IF(Beräkning!L8=4,"Utrustningen är avsedd för El-panna","")</f>
      </c>
      <c r="J7" s="7"/>
    </row>
    <row r="8" ht="12.75">
      <c r="J8" s="7"/>
    </row>
    <row r="9" spans="3:10" ht="12.75">
      <c r="C9" t="s">
        <v>82</v>
      </c>
      <c r="D9" s="26"/>
      <c r="J9" s="7"/>
    </row>
    <row r="10" ht="12.75">
      <c r="J10" s="7"/>
    </row>
    <row r="11" spans="1:10" s="3" customFormat="1" ht="12.75">
      <c r="A11" s="44" t="s">
        <v>83</v>
      </c>
      <c r="B11" s="44" t="s">
        <v>84</v>
      </c>
      <c r="C11" s="45"/>
      <c r="D11" s="46"/>
      <c r="E11" s="46" t="s">
        <v>85</v>
      </c>
      <c r="F11" s="46"/>
      <c r="G11" s="47"/>
      <c r="H11" s="44" t="s">
        <v>86</v>
      </c>
      <c r="I11" s="44" t="s">
        <v>87</v>
      </c>
      <c r="J11" s="72"/>
    </row>
    <row r="12" spans="1:10" ht="12.75">
      <c r="A12" s="17"/>
      <c r="B12" s="17"/>
      <c r="C12" s="18"/>
      <c r="D12" s="7"/>
      <c r="E12" s="7"/>
      <c r="F12" s="7"/>
      <c r="G12" s="7"/>
      <c r="H12" s="60"/>
      <c r="I12" s="60"/>
      <c r="J12" s="7"/>
    </row>
    <row r="13" spans="1:10" ht="12.75">
      <c r="A13" s="27" t="s">
        <v>88</v>
      </c>
      <c r="B13" s="51"/>
      <c r="C13" s="20" t="s">
        <v>155</v>
      </c>
      <c r="D13" s="7"/>
      <c r="E13" s="7"/>
      <c r="F13" s="7"/>
      <c r="G13" s="7"/>
      <c r="H13" s="17"/>
      <c r="I13" s="17"/>
      <c r="J13" s="7"/>
    </row>
    <row r="14" spans="1:10" ht="12.75">
      <c r="A14" s="17"/>
      <c r="B14" s="17"/>
      <c r="C14" s="86" t="s">
        <v>157</v>
      </c>
      <c r="D14" s="7"/>
      <c r="E14" s="7"/>
      <c r="F14" s="7"/>
      <c r="G14" s="7"/>
      <c r="H14" s="17"/>
      <c r="I14" s="17"/>
      <c r="J14" s="7"/>
    </row>
    <row r="15" spans="1:10" ht="12.75">
      <c r="A15" s="17"/>
      <c r="B15" s="17"/>
      <c r="C15" s="20" t="s">
        <v>89</v>
      </c>
      <c r="D15" s="7"/>
      <c r="E15" s="3">
        <f>Beräkning!D59</f>
        <v>4</v>
      </c>
      <c r="F15" s="7" t="s">
        <v>10</v>
      </c>
      <c r="H15" s="40">
        <v>1</v>
      </c>
      <c r="I15" s="21" t="s">
        <v>90</v>
      </c>
      <c r="J15" s="7"/>
    </row>
    <row r="16" spans="1:10" ht="12.75">
      <c r="A16" s="17"/>
      <c r="B16" s="17"/>
      <c r="C16" s="20"/>
      <c r="D16" s="31" t="s">
        <v>91</v>
      </c>
      <c r="E16" s="32">
        <f>Beräkning!E33/10</f>
        <v>1</v>
      </c>
      <c r="F16" s="7" t="s">
        <v>32</v>
      </c>
      <c r="G16" s="22" t="str">
        <f>IF(G17="","","RSKnr")</f>
        <v>RSKnr</v>
      </c>
      <c r="H16" s="21"/>
      <c r="I16" s="21"/>
      <c r="J16" s="7"/>
    </row>
    <row r="17" spans="1:10" ht="12.75">
      <c r="A17" s="17"/>
      <c r="B17" s="17"/>
      <c r="E17" s="52">
        <f>IF(E15="Cirex","****Välj CIREX eller kontakta Beulco Armatur****","")</f>
      </c>
      <c r="G17" s="22">
        <f>IF(E15="","",Beräkning!F146)</f>
        <v>5535208</v>
      </c>
      <c r="H17" s="27"/>
      <c r="I17" s="21"/>
      <c r="J17" s="7"/>
    </row>
    <row r="18" spans="1:10" ht="12.75">
      <c r="A18" s="17"/>
      <c r="B18" s="17"/>
      <c r="E18" s="52">
        <f>IF(E15="går ej","****Välj CIREX eller kontakta Beulco Armatur****","")</f>
      </c>
      <c r="H18" s="17"/>
      <c r="I18" s="21"/>
      <c r="J18" s="7"/>
    </row>
    <row r="19" spans="1:10" ht="15.75" customHeight="1">
      <c r="A19" s="17"/>
      <c r="B19" s="17"/>
      <c r="C19" s="92" t="str">
        <f>IF(Beräkning!$Q$8=0,'IPX UC'!C18,IF(Beräkning!$Q$8=1,'IPX PC max 50 kW'!C19,IF(Beräkning!$Q$8=2,'IPX PC max 100 kW'!C19,'IPX PC max 2000 kW'!C19)))</f>
        <v>Armatursats typ V</v>
      </c>
      <c r="E19" s="92"/>
      <c r="F19" s="4"/>
      <c r="G19" s="98">
        <f>IF(Beräkning!$Q$8=0,'IPX UC'!G18,IF(Beräkning!$Q$8=1,'IPX PC max 50 kW'!G19,IF(Beräkning!$Q$8=2,"","")))</f>
        <v>5535377</v>
      </c>
      <c r="H19" s="111">
        <f>IF(Beräkning!$Q$8=0,'IPX UC'!H18,IF(Beräkning!$Q$8=1,'IPX PC max 50 kW'!H19,IF(Beräkning!$Q$8=2,"","")))</f>
        <v>1</v>
      </c>
      <c r="I19" s="21" t="str">
        <f>IF(Beräkning!$Q$8=0,'IPX UC'!I18,IF(Beräkning!$Q$8=1,'IPX PC max 50 kW'!I19,IF(Beräkning!$Q$8=2,"","")))</f>
        <v>st</v>
      </c>
      <c r="J19" s="7"/>
    </row>
    <row r="20" spans="1:10" ht="12.75" customHeight="1">
      <c r="A20" s="17"/>
      <c r="B20" s="17"/>
      <c r="C20" s="97" t="str">
        <f>IF(Beräkning!$Q$8=0,'IPX UC'!C19,IF(Beräkning!$Q$8=1,'IPX PC max 50 kW'!C20,IF(Beräkning!$Q$8=2,'IPX PC max 100 kW'!C20,'IPX PC max 2000 kW'!C20)))</f>
        <v>bestående av:</v>
      </c>
      <c r="D20" s="4"/>
      <c r="E20" s="112"/>
      <c r="F20" s="115">
        <f>IF(Beräkning!J30&gt;0,Beräkning!J30,"")</f>
      </c>
      <c r="G20" s="7"/>
      <c r="H20" s="21">
        <f>IF(C20="Ångsamlingsrör anslutning",1,"")</f>
      </c>
      <c r="I20" s="21">
        <f>IF(H20=1,"st","")</f>
      </c>
      <c r="J20" s="7"/>
    </row>
    <row r="21" spans="1:10" ht="12.75" customHeight="1">
      <c r="A21" s="17"/>
      <c r="B21" s="17"/>
      <c r="C21" s="97" t="str">
        <f>IF(Beräkning!$Q$8=0,'IPX UC'!C20,IF(Beräkning!$Q$8=1,'IPX PC max 50 kW'!C21,IF(Beräkning!$Q$8=2,'IPX PC max 100 kW'!C21,'IPX PC max 2000 kW'!C21)))</f>
        <v>Samlingsrör ansl 20</v>
      </c>
      <c r="E21" s="98">
        <f>IF(Beräkning!$Q$8=0,"",IF(Beräkning!$Q$8=1,"",IF(Beräkning!$Q$8=2,'IPX PC max 100 kW'!E21,'IPX PC max 2000 kW'!E21)))</f>
      </c>
      <c r="F21" s="97">
        <f>IF(Beräkning!$Q$8=0,"",IF(Beräkning!$Q$8=1,"",IF(Beräkning!$Q$8=2,'IPX PC max 100 kW'!F21,'IPX PC max 2000 kW'!F21)))</f>
      </c>
      <c r="G21" s="97">
        <f>IF(Beräkning!$Q$8=0,"",IF(Beräkning!$Q$8=1,"",IF(Beräkning!$Q$8=2,'IPX PC max 100 kW'!G21,'IPX PC max 2000 kW'!G21)))</f>
      </c>
      <c r="H21" s="80">
        <f>IF(Beräkning!$Q$8=0,'IPX UC'!H20,IF(Beräkning!$Q$8=1,"",IF(Beräkning!$Q$8=2,'IPX PC max 100 kW'!H21,'IPX PC max 2000 kW'!H21)))</f>
      </c>
      <c r="I21" s="80">
        <f>IF(Beräkning!$Q$8=0,'IPX UC'!I20,IF(Beräkning!$Q$8=1,"",IF(Beräkning!$Q$8=2,'IPX PC max 100 kW'!I21,'IPX PC max 2000 kW'!I21)))</f>
      </c>
      <c r="J21" s="7"/>
    </row>
    <row r="22" spans="1:12" ht="12.75" customHeight="1">
      <c r="A22" s="17"/>
      <c r="B22" s="17"/>
      <c r="C22" s="97" t="str">
        <f>IF(Beräkning!$Q$8=0,'IPX UC'!C21,IF(Beräkning!$Q$8=1,'IPX PC max 50 kW'!C22,IF(Beräkning!$Q$8=2,'IPX PC max 100 kW'!C22,'IPX PC max 2000 kW'!C22)))</f>
        <v>Säkerhetsventil ansl 20</v>
      </c>
      <c r="E22" s="7"/>
      <c r="F22" s="98">
        <f>IF(Beräkning!$Q$8=0,'IPX UC'!F21,IF(Beräkning!$Q$8=1,'IPX PC max 50 kW'!F22,IF(Beräkning!$Q$8=2,"","")))</f>
        <v>2</v>
      </c>
      <c r="G22" s="97" t="str">
        <f>IF(Beräkning!$Q$8=0,'IPX UC'!G21,IF(Beräkning!$Q$8=1,'IPX PC max 50 kW'!G22,IF(Beräkning!$Q$8=2,"","")))</f>
        <v>bar</v>
      </c>
      <c r="H22" s="80">
        <f>IF(Beräkning!$Q$8=0,'IPX UC'!H21,IF(Beräkning!$Q$8=1,"",IF(Beräkning!$Q$8=2,'IPX PC max 100 kW'!H22,'IPX PC max 2000 kW'!H22)))</f>
      </c>
      <c r="I22" s="80">
        <f>IF(Beräkning!$Q$8=0,'IPX UC'!I21,IF(Beräkning!$Q$8=1,"",IF(Beräkning!$Q$8=2,'IPX PC max 100 kW'!I22,'IPX PC max 2000 kW'!I22)))</f>
      </c>
      <c r="J22" s="7"/>
      <c r="L22" s="7"/>
    </row>
    <row r="23" spans="1:10" ht="12.75" customHeight="1">
      <c r="A23" s="17"/>
      <c r="B23" s="17"/>
      <c r="C23" s="97" t="str">
        <f>IF(Beräkning!$Q$8=0,'IPX UC'!C22,IF(Beräkning!$Q$8=1,'IPX PC max 50 kW'!C23,IF(Beräkning!$Q$8=2,'IPX PC max 100 kW'!C23,'IPX PC max 2000 kW'!C23)))</f>
        <v>Tryckmätare</v>
      </c>
      <c r="E23" s="7"/>
      <c r="F23" s="7"/>
      <c r="G23" s="7"/>
      <c r="H23" s="111">
        <f>IF(Beräkning!$Q$8=0,'IPX UC'!H22,IF(Beräkning!$Q$8=1,"",IF(Beräkning!$Q$8=2,"","")))</f>
      </c>
      <c r="I23" s="111">
        <f>IF(Beräkning!$Q$8=0,'IPX UC'!I22,IF(Beräkning!$Q$8=1,"",IF(Beräkning!$Q$8=2,"","")))</f>
      </c>
      <c r="J23" s="7"/>
    </row>
    <row r="24" spans="1:10" ht="12.75" customHeight="1">
      <c r="A24" s="17"/>
      <c r="B24" s="17"/>
      <c r="C24" s="97" t="str">
        <f>IF(Beräkning!$Q$8=0,'IPX UC'!C23,IF(Beräkning!$Q$8=1,'IPX PC max 50 kW'!C24,IF(Beräkning!$Q$8=2,"","")))</f>
        <v>Avluftningsventil</v>
      </c>
      <c r="E24" s="7"/>
      <c r="F24" s="7"/>
      <c r="G24" s="7"/>
      <c r="H24" s="111">
        <f>IF(Beräkning!$Q$8=0,'IPX UC'!H23,IF(Beräkning!$Q$8=1,"",IF(Beräkning!$Q$8=2,"","")))</f>
      </c>
      <c r="I24" s="111">
        <f>IF(Beräkning!$Q$8=0,'IPX UC'!I23,IF(Beräkning!$Q$8=1,"",IF(Beräkning!$Q$8=2,"","")))</f>
      </c>
      <c r="J24" s="7"/>
    </row>
    <row r="25" spans="1:10" ht="12.75" customHeight="1">
      <c r="A25" s="17"/>
      <c r="B25" s="17"/>
      <c r="C25" s="97">
        <f>IF(C22="Säkerhetsmodul Secure","Tryckmätare och avluftningsventil","")</f>
      </c>
      <c r="E25" s="7"/>
      <c r="F25" s="7"/>
      <c r="G25" s="7"/>
      <c r="H25" s="80">
        <f>IF(C22="Säkerhetsmodul Secure",1,"")</f>
      </c>
      <c r="I25" s="80">
        <f>IF(C22="Säkerhetsmodul Secure","st","")</f>
      </c>
      <c r="J25" s="7"/>
    </row>
    <row r="26" spans="1:10" ht="12.75">
      <c r="A26" s="17"/>
      <c r="B26" s="17"/>
      <c r="C26" s="97">
        <f>IF(Beräkning!$Q$8=0,"",IF(Beräkning!$Q$8=1,'IPX PC max 50 kW'!C25,IF(Beräkning!$Q$8=2,"",'IPX PC max 2000 kW'!C25)))</f>
      </c>
      <c r="E26" s="7"/>
      <c r="F26" s="7"/>
      <c r="G26" s="7"/>
      <c r="H26" s="111">
        <f>IF(Beräkning!$Q$8=0,"",IF(Beräkning!$Q$8=1,"",IF(Beräkning!$Q$8=2,'IPX PC max 100 kW'!H26,"")))</f>
      </c>
      <c r="I26" s="111">
        <f>IF(Beräkning!$Q$8=0,"",IF(Beräkning!$Q$8=1,"",IF(Beräkning!$Q$8=2,'IPX PC max 100 kW'!I26,"")))</f>
      </c>
      <c r="J26" s="7"/>
    </row>
    <row r="27" spans="1:10" ht="12.75">
      <c r="A27" s="17"/>
      <c r="B27" s="17"/>
      <c r="C27" s="97">
        <f>IF(Beräkning!$Q$8=0,"",IF(Beräkning!$Q$8=1,"",IF(Beräkning!$Q$8=2,'IPX PC max 100 kW'!C26,'IPX PC max 2000 kW'!C26)))</f>
      </c>
      <c r="H27" s="18"/>
      <c r="I27" s="17"/>
      <c r="J27" s="7"/>
    </row>
    <row r="28" spans="1:10" ht="12.75">
      <c r="A28" s="17"/>
      <c r="B28" s="17"/>
      <c r="C28" s="97">
        <f>IF(Beräkning!$Q$8=0,"",IF(Beräkning!$Q$8=1,"",IF(Beräkning!$Q$8=2,"",'IPX PC max 2000 kW'!C28)))</f>
      </c>
      <c r="H28" s="100">
        <f>IF(Beräkning!$Q$8=0,"",IF(Beräkning!$Q$8=1,"",IF(Beräkning!$Q$8=2,"",'IPX PC max 2000 kW'!H28)))</f>
      </c>
      <c r="I28" s="80">
        <f>IF(Beräkning!$Q$8=0,"",IF(Beräkning!$Q$8=1,"",IF(Beräkning!$Q$8=2,"",'IPX PC max 2000 kW'!I28)))</f>
      </c>
      <c r="J28" s="7"/>
    </row>
    <row r="29" spans="1:10" ht="12.75">
      <c r="A29" s="17"/>
      <c r="B29" s="17"/>
      <c r="H29" s="18"/>
      <c r="I29" s="17"/>
      <c r="J29" s="7"/>
    </row>
    <row r="30" spans="1:10" ht="12.75">
      <c r="A30" s="17"/>
      <c r="B30" s="17"/>
      <c r="C30" s="92" t="str">
        <f>IF(Beräkning!$Q$8=0,'IPX UC'!C29,IF(Beräkning!$Q$8=1,'IPX PC max 50 kW'!C30,IF(Beräkning!$Q$8=2,'IPX PC max 100 kW'!C30,'IPX PC max 2000 kW'!C30)))</f>
        <v>Tillbehör</v>
      </c>
      <c r="D30" s="7"/>
      <c r="E30" s="7"/>
      <c r="F30" s="7"/>
      <c r="G30" s="7"/>
      <c r="H30" s="99"/>
      <c r="I30" s="21"/>
      <c r="J30" s="7"/>
    </row>
    <row r="31" spans="1:10" ht="12.75">
      <c r="A31" s="17"/>
      <c r="B31" s="17"/>
      <c r="C31" s="97" t="str">
        <f>IF(Beräkning!$Q$8=0,'IPX UC'!C30,IF(Beräkning!$Q$8=1,'IPX PC max 50 kW'!C31,IF(Beräkning!$Q$8=2,'IPX PC max 100 kW'!C31,'IPX PC max 2000 kW'!C31)))</f>
        <v>Väggfäste</v>
      </c>
      <c r="E31" s="7"/>
      <c r="F31" s="4" t="str">
        <f>IF(G31="","","RSKnr")</f>
        <v>RSKnr</v>
      </c>
      <c r="G31" s="98">
        <f>IF(Beräkning!$Q$8=0,'IPX UC'!G30,IF(Beräkning!$Q$8=1,'IPX PC max 50 kW'!G31,IF(Beräkning!$Q$8=2,'IPX PC max 100 kW'!G31,'IPX PC max 2000 kW'!G31)))</f>
        <v>5535281</v>
      </c>
      <c r="H31" s="99"/>
      <c r="I31" s="21" t="str">
        <f>IF(C31="","","st")</f>
        <v>st</v>
      </c>
      <c r="J31" s="7"/>
    </row>
    <row r="32" spans="1:10" ht="12.75">
      <c r="A32" s="17"/>
      <c r="B32" s="17"/>
      <c r="C32" s="97" t="str">
        <f>IF(Beräkning!$Q$8=0,'IPX UC'!C31,IF(Beräkning!$Q$8=1,'IPX PC max 50 kW'!C32,IF(Beräkning!$Q$8=2,'IPX PC max 100 kW'!C32,'IPX PC max 2000 kW'!C32)))</f>
        <v>Kontrollmanventil</v>
      </c>
      <c r="F32" s="4" t="str">
        <f>IF(G32="","","RSKnr")</f>
        <v>RSKnr</v>
      </c>
      <c r="G32" s="98">
        <f>IF(Beräkning!$Q$8=0,'IPX UC'!G31,IF(Beräkning!$Q$8=1,'IPX PC max 50 kW'!G32,IF(Beräkning!$Q$8=2,'IPX PC max 100 kW'!G32,'IPX PC max 2000 kW'!G32)))</f>
        <v>5535287</v>
      </c>
      <c r="H32" s="142"/>
      <c r="I32" s="21" t="str">
        <f>IF(C32="","","st")</f>
        <v>st</v>
      </c>
      <c r="J32" s="7"/>
    </row>
    <row r="33" spans="1:10" ht="12.75">
      <c r="A33" s="17"/>
      <c r="B33" s="17"/>
      <c r="C33" s="97" t="str">
        <f>IF(Beräkning!$Q$8=0,'IPX UC'!C32,IF(Beräkning!$Q$8=1,'IPX PC max 50 kW'!C33,IF(Beräkning!$Q$8=2,'IPX PC max 100 kW'!C33,'IPX PC max 2000 kW'!C33)))</f>
        <v>Signaltryckmätare</v>
      </c>
      <c r="D33" s="7"/>
      <c r="E33" s="7"/>
      <c r="F33" s="4" t="str">
        <f>IF(G33="","","RSKnr")</f>
        <v>RSKnr</v>
      </c>
      <c r="G33" s="98">
        <f>IF(Beräkning!$Q$8=0,'IPX UC'!G32,IF(Beräkning!$Q$8=1,'IPX PC max 50 kW'!G33,IF(Beräkning!$Q$8=2,'IPX PC max 100 kW'!G33,'IPX PC max 2000 kW'!G33)))</f>
        <v>5535314</v>
      </c>
      <c r="H33" s="142"/>
      <c r="I33" s="21" t="str">
        <f>IF(C33="","","st")</f>
        <v>st</v>
      </c>
      <c r="J33" s="7"/>
    </row>
    <row r="34" spans="1:10" ht="12.75">
      <c r="A34" s="17"/>
      <c r="B34" s="17"/>
      <c r="C34" s="97" t="str">
        <f>IF(Beräkning!$Q$8=0,'IPX UC'!C33,IF(Beräkning!$Q$8=1,'IPX PC max 50 kW'!C34,IF(Beräkning!$Q$8=2,'IPX PC max 100 kW'!C34,'IPX PC max 2000 kW'!C34)))</f>
        <v>Mätventil</v>
      </c>
      <c r="D34" s="7"/>
      <c r="E34" s="7"/>
      <c r="F34" s="4" t="str">
        <f>IF(G34="","","RSKnr")</f>
        <v>RSKnr</v>
      </c>
      <c r="G34" s="98">
        <f>IF(Beräkning!$Q$8=0,'IPX UC'!G33,IF(Beräkning!$Q$8=1,'IPX PC max 50 kW'!G34,IF(Beräkning!$Q$8=2,'IPX PC max 100 kW'!G34,'IPX PC max 2000 kW'!G34)))</f>
        <v>5535321</v>
      </c>
      <c r="H34" s="142"/>
      <c r="I34" s="21" t="str">
        <f>IF(C34="","","st")</f>
        <v>st</v>
      </c>
      <c r="J34" s="7"/>
    </row>
    <row r="35" spans="1:10" ht="12.75">
      <c r="A35" s="17"/>
      <c r="B35" s="17"/>
      <c r="C35" s="97" t="str">
        <f>IF(Beräkning!$Q$8=0,'IPX UC'!C34,IF(Beräkning!$Q$8=1,'IPX PC max 50 kW'!C35,IF(Beräkning!$Q$8=2,'IPX PC max 100 kW'!C35,'IPX PC max 2000 kW'!C35)))</f>
        <v>Avtappningsdon</v>
      </c>
      <c r="D35" s="7"/>
      <c r="E35" s="7"/>
      <c r="F35" s="4" t="str">
        <f>IF(G35="","","RSKnr")</f>
        <v>RSKnr</v>
      </c>
      <c r="G35" s="98">
        <f>IF(Beräkning!$Q$8=0,'IPX UC'!G34,IF(Beräkning!$Q$8=1,'IPX PC max 50 kW'!G35,IF(Beräkning!$Q$8=2,'IPX PC max 100 kW'!G35,'IPX PC max 2000 kW'!G35)))</f>
        <v>5535322</v>
      </c>
      <c r="H35" s="105"/>
      <c r="I35" s="21" t="str">
        <f>IF(C35="","","st")</f>
        <v>st</v>
      </c>
      <c r="J35" s="7"/>
    </row>
    <row r="36" spans="1:10" ht="12.75">
      <c r="A36" s="17"/>
      <c r="B36" s="17"/>
      <c r="C36" s="18"/>
      <c r="G36" s="7"/>
      <c r="H36" s="18"/>
      <c r="I36" s="17"/>
      <c r="J36" s="7"/>
    </row>
    <row r="37" spans="1:10" ht="12.75">
      <c r="A37" s="17"/>
      <c r="B37" s="17"/>
      <c r="C37" s="18"/>
      <c r="G37" s="7"/>
      <c r="H37" s="17"/>
      <c r="I37" s="17"/>
      <c r="J37" s="7"/>
    </row>
    <row r="38" spans="1:10" ht="12.75">
      <c r="A38" s="17"/>
      <c r="B38" s="17"/>
      <c r="C38" s="18"/>
      <c r="G38" s="87"/>
      <c r="H38" s="17"/>
      <c r="I38" s="17"/>
      <c r="J38" s="7"/>
    </row>
    <row r="39" spans="1:10" ht="12.75">
      <c r="A39" s="17"/>
      <c r="B39" s="17"/>
      <c r="C39" s="18"/>
      <c r="G39" s="7"/>
      <c r="H39" s="17"/>
      <c r="I39" s="17"/>
      <c r="J39" s="7"/>
    </row>
    <row r="40" spans="1:10" ht="12.75">
      <c r="A40" s="17"/>
      <c r="B40" s="17"/>
      <c r="C40" s="18"/>
      <c r="D40" s="33" t="s">
        <v>96</v>
      </c>
      <c r="E40" s="35"/>
      <c r="F40" s="34"/>
      <c r="G40" s="7"/>
      <c r="H40" s="17"/>
      <c r="I40" s="17"/>
      <c r="J40" s="7"/>
    </row>
    <row r="41" spans="1:10" ht="12.75">
      <c r="A41" s="18"/>
      <c r="B41" s="18"/>
      <c r="C41" s="18"/>
      <c r="D41" s="18"/>
      <c r="E41" s="7"/>
      <c r="F41" s="19"/>
      <c r="G41" s="7"/>
      <c r="H41" s="17"/>
      <c r="I41" s="17"/>
      <c r="J41" s="7"/>
    </row>
    <row r="42" spans="1:10" ht="12.75">
      <c r="A42" s="18"/>
      <c r="B42" s="18"/>
      <c r="C42" s="18"/>
      <c r="D42" s="18" t="s">
        <v>97</v>
      </c>
      <c r="E42" s="7">
        <f>Beräkning!F5+Beräkning!F6+Beräkning!F7+Beräkning!F8</f>
        <v>0</v>
      </c>
      <c r="F42" s="19" t="s">
        <v>5</v>
      </c>
      <c r="H42" s="17"/>
      <c r="I42" s="17"/>
      <c r="J42" s="7"/>
    </row>
    <row r="43" spans="1:10" ht="12.75">
      <c r="A43" s="18"/>
      <c r="B43" s="18"/>
      <c r="C43" s="18"/>
      <c r="D43" s="18" t="s">
        <v>98</v>
      </c>
      <c r="E43" s="8">
        <f>Beräkning!C52</f>
        <v>0</v>
      </c>
      <c r="F43" s="19" t="s">
        <v>10</v>
      </c>
      <c r="H43" s="17"/>
      <c r="I43" s="17"/>
      <c r="J43" s="7"/>
    </row>
    <row r="44" spans="1:10" ht="14.25">
      <c r="A44" s="18"/>
      <c r="B44" s="18"/>
      <c r="C44" s="18"/>
      <c r="D44" s="18" t="s">
        <v>99</v>
      </c>
      <c r="E44" s="7">
        <f>Beräkning!E30</f>
        <v>80</v>
      </c>
      <c r="F44" s="79" t="s">
        <v>100</v>
      </c>
      <c r="H44" s="17"/>
      <c r="I44" s="17"/>
      <c r="J44" s="7"/>
    </row>
    <row r="45" spans="1:10" ht="12.75">
      <c r="A45" s="18"/>
      <c r="B45" s="18"/>
      <c r="C45" s="18"/>
      <c r="D45" s="18" t="s">
        <v>101</v>
      </c>
      <c r="E45" s="7">
        <f>Beräkning!E33</f>
        <v>10</v>
      </c>
      <c r="F45" s="19" t="s">
        <v>30</v>
      </c>
      <c r="H45" s="17"/>
      <c r="I45" s="17"/>
      <c r="J45" s="7"/>
    </row>
    <row r="46" spans="1:10" ht="12.75">
      <c r="A46" s="18"/>
      <c r="B46" s="18"/>
      <c r="C46" s="18"/>
      <c r="D46" s="18" t="s">
        <v>102</v>
      </c>
      <c r="E46" s="7">
        <f>Beräkning!E34</f>
        <v>2</v>
      </c>
      <c r="F46" s="19" t="s">
        <v>32</v>
      </c>
      <c r="H46" s="17"/>
      <c r="I46" s="17"/>
      <c r="J46" s="7"/>
    </row>
    <row r="47" spans="1:10" ht="12.75">
      <c r="A47" s="18"/>
      <c r="B47" s="18"/>
      <c r="C47" s="18"/>
      <c r="D47" s="28" t="s">
        <v>105</v>
      </c>
      <c r="E47" s="25">
        <f>Beräkning!E31</f>
        <v>0</v>
      </c>
      <c r="F47" s="24" t="s">
        <v>50</v>
      </c>
      <c r="H47" s="17"/>
      <c r="I47" s="17"/>
      <c r="J47" s="7"/>
    </row>
    <row r="48" spans="1:10" ht="12.75">
      <c r="A48" s="18"/>
      <c r="B48" s="18"/>
      <c r="C48" s="18"/>
      <c r="H48" s="17"/>
      <c r="I48" s="17"/>
      <c r="J48" s="7"/>
    </row>
    <row r="49" spans="1:10" ht="12.75">
      <c r="A49" s="18"/>
      <c r="B49" s="18"/>
      <c r="C49" s="18"/>
      <c r="D49" s="33" t="s">
        <v>103</v>
      </c>
      <c r="E49" s="71">
        <f>Beräkning!C53</f>
        <v>0</v>
      </c>
      <c r="F49" s="34" t="s">
        <v>10</v>
      </c>
      <c r="H49" s="17"/>
      <c r="I49" s="17"/>
      <c r="J49" s="7"/>
    </row>
    <row r="50" spans="1:10" ht="12.75">
      <c r="A50" s="28"/>
      <c r="B50" s="28"/>
      <c r="C50" s="28"/>
      <c r="D50" s="28" t="s">
        <v>104</v>
      </c>
      <c r="E50" s="53">
        <f>Beräkning!C57</f>
        <v>0</v>
      </c>
      <c r="F50" s="24" t="s">
        <v>10</v>
      </c>
      <c r="G50" s="25"/>
      <c r="H50" s="23"/>
      <c r="I50" s="113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ht="12.7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ht="12.7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ht="12.75">
      <c r="A55" s="7"/>
      <c r="B55" s="7"/>
      <c r="C55" s="7"/>
      <c r="D55" s="7"/>
      <c r="E55" s="7"/>
      <c r="F55" s="7"/>
      <c r="G55" s="87"/>
      <c r="H55" s="7"/>
      <c r="I55" s="87"/>
      <c r="J55" s="7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ht="12.75">
      <c r="J57" s="7"/>
    </row>
    <row r="58" ht="12.75">
      <c r="J58" s="7"/>
    </row>
    <row r="59" ht="12.75">
      <c r="J59" s="7"/>
    </row>
    <row r="60" ht="12.75">
      <c r="J60" s="7"/>
    </row>
    <row r="61" ht="12.75">
      <c r="J61" s="7"/>
    </row>
    <row r="62" ht="12.75">
      <c r="J62" s="7"/>
    </row>
    <row r="63" ht="12.75">
      <c r="J63" s="7"/>
    </row>
    <row r="64" ht="12.75">
      <c r="J64" s="7"/>
    </row>
    <row r="65" ht="12.75">
      <c r="J65" s="7"/>
    </row>
    <row r="66" ht="12.75">
      <c r="J66" s="7"/>
    </row>
    <row r="67" ht="12.75">
      <c r="J67" s="7"/>
    </row>
    <row r="68" ht="12.75">
      <c r="J68" s="7"/>
    </row>
  </sheetData>
  <sheetProtection password="CC7F" sheet="1" objects="1" scenarios="1"/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59"/>
  <sheetViews>
    <sheetView showGridLines="0"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10.140625" style="0" customWidth="1"/>
    <col min="2" max="2" width="12.00390625" style="0" customWidth="1"/>
    <col min="3" max="3" width="10.8515625" style="0" customWidth="1"/>
    <col min="4" max="4" width="10.140625" style="0" customWidth="1"/>
    <col min="5" max="5" width="8.28125" style="0" customWidth="1"/>
    <col min="6" max="6" width="6.28125" style="0" customWidth="1"/>
    <col min="7" max="7" width="11.00390625" style="0" customWidth="1"/>
    <col min="8" max="8" width="8.140625" style="0" customWidth="1"/>
  </cols>
  <sheetData>
    <row r="1" ht="12.75">
      <c r="A1" s="43"/>
    </row>
    <row r="2" spans="1:2" ht="12.75">
      <c r="A2" s="42" t="s">
        <v>80</v>
      </c>
      <c r="B2" s="16">
        <v>38131</v>
      </c>
    </row>
    <row r="5" ht="20.25">
      <c r="C5" s="39" t="s">
        <v>109</v>
      </c>
    </row>
    <row r="6" ht="12.75">
      <c r="C6" t="str">
        <f>IF(Beräkning!$Q$8=0,'Cirex UC'!E6,'Cirex PC'!C6)</f>
        <v>För undercentraler och kylsystem</v>
      </c>
    </row>
    <row r="7" ht="12.75">
      <c r="C7">
        <f>IF(Beräkning!L8=4,"Utrustningen är avsedd för El-panna","")</f>
      </c>
    </row>
    <row r="9" spans="3:4" ht="12.75">
      <c r="C9" t="s">
        <v>82</v>
      </c>
      <c r="D9" s="26"/>
    </row>
    <row r="10" spans="1:10" ht="12.75">
      <c r="A10" s="29"/>
      <c r="J10" s="7"/>
    </row>
    <row r="11" spans="1:10" s="3" customFormat="1" ht="12.75">
      <c r="A11" s="44" t="s">
        <v>83</v>
      </c>
      <c r="B11" s="44" t="s">
        <v>84</v>
      </c>
      <c r="C11" s="45"/>
      <c r="D11" s="46"/>
      <c r="E11" s="46" t="s">
        <v>85</v>
      </c>
      <c r="F11" s="46"/>
      <c r="G11" s="47"/>
      <c r="H11" s="44" t="s">
        <v>86</v>
      </c>
      <c r="I11" s="44" t="s">
        <v>87</v>
      </c>
      <c r="J11" s="72"/>
    </row>
    <row r="12" spans="1:10" ht="12.75">
      <c r="A12" s="17"/>
      <c r="B12" s="17"/>
      <c r="C12" s="18"/>
      <c r="D12" s="7"/>
      <c r="E12" s="7"/>
      <c r="F12" s="7"/>
      <c r="G12" s="19"/>
      <c r="H12" s="17"/>
      <c r="I12" s="17"/>
      <c r="J12" s="7"/>
    </row>
    <row r="13" spans="1:10" ht="12.75">
      <c r="A13" s="27" t="s">
        <v>110</v>
      </c>
      <c r="B13" s="51"/>
      <c r="C13" s="20" t="s">
        <v>158</v>
      </c>
      <c r="D13" s="7"/>
      <c r="E13" s="7"/>
      <c r="F13" s="7"/>
      <c r="G13" s="19"/>
      <c r="H13" s="17"/>
      <c r="I13" s="17"/>
      <c r="J13" s="7"/>
    </row>
    <row r="14" spans="1:10" ht="12.75">
      <c r="A14" s="17"/>
      <c r="B14" s="17"/>
      <c r="C14" s="86" t="s">
        <v>157</v>
      </c>
      <c r="D14" s="7"/>
      <c r="E14" s="7"/>
      <c r="F14" s="7"/>
      <c r="G14" s="19"/>
      <c r="H14" s="17"/>
      <c r="I14" s="17"/>
      <c r="J14" s="7"/>
    </row>
    <row r="15" spans="1:10" ht="12.75">
      <c r="A15" s="17"/>
      <c r="B15" s="17"/>
      <c r="C15" s="20" t="s">
        <v>111</v>
      </c>
      <c r="D15" s="7"/>
      <c r="F15" s="3">
        <f>Beräkning!D72</f>
        <v>200</v>
      </c>
      <c r="G15" s="7" t="s">
        <v>10</v>
      </c>
      <c r="H15" s="40">
        <v>1</v>
      </c>
      <c r="I15" s="21" t="s">
        <v>90</v>
      </c>
      <c r="J15" s="7"/>
    </row>
    <row r="16" spans="1:10" ht="12.75">
      <c r="A16" s="17"/>
      <c r="B16" s="17"/>
      <c r="F16" s="4" t="str">
        <f>IF(G16="","","RSKnr")</f>
        <v>RSKnr</v>
      </c>
      <c r="G16" s="4">
        <f>IF(H15="","",Beräkning!F178)</f>
        <v>5524094</v>
      </c>
      <c r="H16" s="21"/>
      <c r="I16" s="17"/>
      <c r="J16" s="7"/>
    </row>
    <row r="17" spans="1:10" ht="12.75">
      <c r="A17" s="17"/>
      <c r="B17" s="17"/>
      <c r="C17" s="30" t="s">
        <v>112</v>
      </c>
      <c r="H17" s="27"/>
      <c r="I17" s="17"/>
      <c r="J17" s="7"/>
    </row>
    <row r="18" spans="1:10" ht="12.75">
      <c r="A18" s="17"/>
      <c r="B18" s="17"/>
      <c r="C18" t="s">
        <v>113</v>
      </c>
      <c r="D18" s="7"/>
      <c r="E18" s="7"/>
      <c r="F18" s="7"/>
      <c r="G18" s="19"/>
      <c r="H18" s="17"/>
      <c r="I18" s="17"/>
      <c r="J18" s="7"/>
    </row>
    <row r="19" spans="1:10" ht="12.75">
      <c r="A19" s="17"/>
      <c r="B19" s="17"/>
      <c r="C19" s="18" t="s">
        <v>175</v>
      </c>
      <c r="F19" s="4"/>
      <c r="G19" s="19"/>
      <c r="H19" s="17"/>
      <c r="I19" s="17"/>
      <c r="J19" s="7"/>
    </row>
    <row r="20" spans="1:10" ht="12.75">
      <c r="A20" s="17"/>
      <c r="B20" s="17"/>
      <c r="C20" t="s">
        <v>114</v>
      </c>
      <c r="D20" s="7"/>
      <c r="E20" s="4"/>
      <c r="F20" s="4"/>
      <c r="G20" s="19"/>
      <c r="H20" s="17"/>
      <c r="I20" s="17"/>
      <c r="J20" s="7"/>
    </row>
    <row r="21" spans="1:10" ht="12.75">
      <c r="A21" s="17"/>
      <c r="B21" s="17"/>
      <c r="D21" s="7"/>
      <c r="E21" s="7"/>
      <c r="F21" s="22"/>
      <c r="G21" s="19"/>
      <c r="H21" s="17"/>
      <c r="I21" s="17"/>
      <c r="J21" s="7"/>
    </row>
    <row r="22" spans="1:10" ht="15.75" customHeight="1">
      <c r="A22" s="17"/>
      <c r="B22" s="17"/>
      <c r="C22" s="2" t="s">
        <v>115</v>
      </c>
      <c r="D22" s="7"/>
      <c r="E22" s="75" t="s">
        <v>116</v>
      </c>
      <c r="F22" s="75" t="str">
        <f>IF(Beräkning!E44=1,Beräkning!J178,Beräkning!J182)</f>
        <v>C-1-1-30</v>
      </c>
      <c r="G22" s="19"/>
      <c r="H22" s="40">
        <v>1</v>
      </c>
      <c r="I22" s="21" t="s">
        <v>90</v>
      </c>
      <c r="J22" s="7"/>
    </row>
    <row r="23" spans="1:10" ht="12.75">
      <c r="A23" s="17"/>
      <c r="B23" s="17"/>
      <c r="C23" t="str">
        <f>IF(Beräkning!E45=1,"enkelpumputförande","dubbelpumputförande")</f>
        <v>enkelpumputförande</v>
      </c>
      <c r="F23" s="4" t="str">
        <f>IF(G23="","","RSKnr")</f>
        <v>RSKnr</v>
      </c>
      <c r="G23" s="4">
        <f>Beräkning!J187</f>
        <v>5524112</v>
      </c>
      <c r="H23" s="21"/>
      <c r="I23" s="21"/>
      <c r="J23" s="7"/>
    </row>
    <row r="24" spans="1:10" ht="12.75">
      <c r="A24" s="17"/>
      <c r="B24" s="17"/>
      <c r="C24" s="74" t="s">
        <v>117</v>
      </c>
      <c r="D24" s="7"/>
      <c r="E24" s="22">
        <f>Beräkning!E35</f>
        <v>15</v>
      </c>
      <c r="F24" s="7" t="s">
        <v>118</v>
      </c>
      <c r="H24" s="21"/>
      <c r="I24" s="21"/>
      <c r="J24" s="7"/>
    </row>
    <row r="25" spans="1:10" ht="12.75">
      <c r="A25" s="17"/>
      <c r="B25" s="17"/>
      <c r="C25" s="76" t="s">
        <v>119</v>
      </c>
      <c r="D25" s="7" t="str">
        <f>IF(Beräkning!E44=1,"1-fas 240 V","3-fas 400 V")</f>
        <v>1-fas 240 V</v>
      </c>
      <c r="E25" s="7"/>
      <c r="F25" s="7"/>
      <c r="G25" s="19"/>
      <c r="H25" s="21"/>
      <c r="I25" s="21"/>
      <c r="J25" s="7"/>
    </row>
    <row r="26" spans="1:10" ht="12.75">
      <c r="A26" s="17"/>
      <c r="B26" s="17"/>
      <c r="F26" s="7"/>
      <c r="G26" s="19"/>
      <c r="H26" s="17"/>
      <c r="I26" s="17"/>
      <c r="J26" s="7"/>
    </row>
    <row r="27" spans="1:10" ht="12.75">
      <c r="A27" s="17"/>
      <c r="B27" s="17"/>
      <c r="C27" s="106" t="str">
        <f>IF(Beräkning!$Q$8=0,'Cirex UC'!C26,'Cirex PC'!C27)</f>
        <v>Medleveras omonterat:</v>
      </c>
      <c r="D27" s="7"/>
      <c r="E27" s="7"/>
      <c r="G27" s="19"/>
      <c r="H27" s="17"/>
      <c r="I27" s="17"/>
      <c r="J27" s="7"/>
    </row>
    <row r="28" spans="1:10" ht="12.75">
      <c r="A28" s="17"/>
      <c r="B28" s="17"/>
      <c r="C28" t="str">
        <f>IF(Beräkning!$Q$8=0,'Cirex UC'!C27,'Cirex PC'!C28)</f>
        <v>Säkerhetsventil ansl 25</v>
      </c>
      <c r="D28" s="7"/>
      <c r="E28" s="7"/>
      <c r="H28" s="17"/>
      <c r="I28" s="17"/>
      <c r="J28" s="7"/>
    </row>
    <row r="29" spans="1:10" ht="12.75">
      <c r="A29" s="17"/>
      <c r="B29" s="17"/>
      <c r="C29">
        <f>IF(Beräkning!$Q$8=0,"",'Cirex PC'!C29)</f>
      </c>
      <c r="D29" s="7"/>
      <c r="E29" s="7"/>
      <c r="F29">
        <f>IF(Beräkning!$Q$8=0,"",'Cirex PC'!F29)</f>
      </c>
      <c r="G29">
        <f>IF(Beräkning!$Q$8=0,"",'Cirex PC'!G29)</f>
      </c>
      <c r="H29" s="17"/>
      <c r="I29" s="17"/>
      <c r="J29" s="7"/>
    </row>
    <row r="30" spans="1:10" ht="12.75">
      <c r="A30" s="17"/>
      <c r="B30" s="17"/>
      <c r="C30" s="18"/>
      <c r="D30" s="7"/>
      <c r="E30" s="7"/>
      <c r="F30" s="22"/>
      <c r="G30" s="62"/>
      <c r="H30" s="17"/>
      <c r="I30" s="17"/>
      <c r="J30" s="7"/>
    </row>
    <row r="31" spans="1:10" ht="12.75">
      <c r="A31" s="17"/>
      <c r="B31" s="17"/>
      <c r="H31" s="17"/>
      <c r="I31" s="17"/>
      <c r="J31" s="7"/>
    </row>
    <row r="32" spans="1:10" ht="14.25" customHeight="1">
      <c r="A32" s="17"/>
      <c r="B32" s="17"/>
      <c r="C32" s="92">
        <f>IF(Beräkning!$Q$8=0,"",IF(Beräkning!$Q$8=1,"",IF(Beräkning!$Q$8=2,IPX!C19,IPX!C19)))</f>
      </c>
      <c r="F32" s="4"/>
      <c r="H32" s="80">
        <f>IF(C32="Säkerhetsventil ansl 25",1,"")</f>
      </c>
      <c r="I32" s="80">
        <f>IF(C32="Säkerhetsventil ansl 25","st","")</f>
      </c>
      <c r="J32" s="7"/>
    </row>
    <row r="33" spans="1:10" ht="12.75">
      <c r="A33" s="17"/>
      <c r="B33" s="17"/>
      <c r="C33" s="97">
        <f>IF(Beräkning!$Q$8=0,"",IF(Beräkning!$Q$8=1,"",IF(Beräkning!$Q$8=2,IPX!C20,IPX!C20)))</f>
      </c>
      <c r="D33" s="98"/>
      <c r="E33" s="114"/>
      <c r="F33" s="48">
        <f>IF(Beräkning!J30&gt;0,Beräkning!J30,"")</f>
      </c>
      <c r="G33" s="107"/>
      <c r="H33" s="100">
        <f>IF(Beräkning!$Q$8=0,"",IF(Beräkning!$Q$8=1,IPX!H20,IF(Beräkning!$Q$8=2,IPX!H20,IPX!H20)))</f>
      </c>
      <c r="I33" s="80">
        <f>IF(Beräkning!$Q$8=0,"",IF(Beräkning!$Q$8=1,IPX!I20,IF(Beräkning!$Q$8=2,IPX!I20,IPX!I20)))</f>
      </c>
      <c r="J33" s="7"/>
    </row>
    <row r="34" spans="1:10" ht="12.75">
      <c r="A34" s="17"/>
      <c r="B34" s="17"/>
      <c r="C34" s="97">
        <f>IF(Beräkning!$Q$8=0,"",IF(Beräkning!$Q$8=1,"",IF(Beräkning!$Q$8=2,IPX!C21,IPX!C21)))</f>
      </c>
      <c r="D34" s="97"/>
      <c r="E34" s="98">
        <f>IF(Beräkning!$Q$8=0,"",IF(Beräkning!$Q$8=1,"",IF(Beräkning!$Q$8=2,IPX!E21,IPX!E21)))</f>
      </c>
      <c r="F34" s="97">
        <f>IF(Beräkning!$Q$8=0,"",IF(Beräkning!$Q$8=1,IPX!F21,IF(Beräkning!$Q$8=2,IPX!F21,IPX!F21)))</f>
      </c>
      <c r="G34" s="97">
        <f>IF(Beräkning!$Q$8=0,"",IPX!G21)</f>
      </c>
      <c r="H34" s="100">
        <f>IF(Beräkning!$Q$8=0,"",IF(Beräkning!$Q$8=1,IPX!H21,IF(Beräkning!$Q$8=2,IPX!H21,IPX!H21)))</f>
      </c>
      <c r="I34" s="80">
        <f>IF(Beräkning!$Q$8=0,"",IF(Beräkning!$Q$8=1,IPX!I21,IF(Beräkning!$Q$8=2,IPX!I21,IPX!I20)))</f>
      </c>
      <c r="J34" s="7"/>
    </row>
    <row r="35" spans="1:10" ht="12.75">
      <c r="A35" s="17"/>
      <c r="B35" s="17"/>
      <c r="C35" s="97">
        <f>IF(Beräkning!$Q$8=0,"",IF(Beräkning!$Q$8=1,IPX!C22,IF(Beräkning!$Q$8=2,IPX!C22,IPX!C22)))</f>
      </c>
      <c r="D35" s="97"/>
      <c r="E35" s="97"/>
      <c r="F35" s="97">
        <f>IF(Beräkning!$Q$8=0,"",IF(Beräkning!$Q$8=1,IPX!F22,IF(Beräkning!$Q$8=2,IPX!F22,"")))</f>
      </c>
      <c r="G35" s="97">
        <f>IF(Beräkning!$Q$8=0,"",IF(Beräkning!$Q$8=1,IPX!G22,IF(Beräkning!$Q$8=2,IPX!G22,"")))</f>
      </c>
      <c r="H35" s="100">
        <f>IF(Beräkning!$Q$8=0,"",IF(Beräkning!$Q$8=1,1,IF(Beräkning!$Q$8=2,IPX!H22,IPX!H22)))</f>
      </c>
      <c r="I35" s="80">
        <f>IF(Beräkning!$Q$8=0,"",IF(Beräkning!$Q$8=1,"st",IF(Beräkning!$Q$8=2,IPX!I22,IPX!I20)))</f>
      </c>
      <c r="J35" s="7"/>
    </row>
    <row r="36" spans="1:10" ht="12.75">
      <c r="A36" s="17"/>
      <c r="B36" s="17"/>
      <c r="C36" s="97">
        <f>IF(Beräkning!$Q$8=0,"",IF(Beräkning!$Q$8=1,"",IF(Beräkning!$Q$8=2,IPX!C23,IPX!C23)))</f>
      </c>
      <c r="D36" s="97"/>
      <c r="E36" s="107"/>
      <c r="F36" s="107"/>
      <c r="G36" s="108"/>
      <c r="H36" s="21"/>
      <c r="I36" s="21"/>
      <c r="J36" s="7"/>
    </row>
    <row r="37" spans="1:10" ht="12.75">
      <c r="A37" s="17"/>
      <c r="B37" s="17"/>
      <c r="C37" s="92">
        <f>IF(Beräkning!$Q$8=0,"",IF(Beräkning!$Q$8=1,"",IF(Beräkning!$Q$8=2,IPX!C24,IPX!C24)))</f>
      </c>
      <c r="D37" s="97"/>
      <c r="E37" s="107"/>
      <c r="F37" s="107"/>
      <c r="G37" s="108"/>
      <c r="H37" s="21"/>
      <c r="I37" s="21"/>
      <c r="J37" s="7"/>
    </row>
    <row r="38" spans="1:10" ht="12.75">
      <c r="A38" s="17"/>
      <c r="B38" s="17"/>
      <c r="C38" s="97"/>
      <c r="D38" s="97"/>
      <c r="E38" s="107"/>
      <c r="F38" s="107"/>
      <c r="G38" s="108"/>
      <c r="H38" s="80">
        <f>IF(C38="Termisk temperaturbegränsare",1,"")</f>
      </c>
      <c r="I38" s="80">
        <f>IF(C38="Termisk temperaturbegränsare","st","")</f>
      </c>
      <c r="J38" s="7"/>
    </row>
    <row r="39" spans="1:10" ht="12.75">
      <c r="A39" s="17"/>
      <c r="B39" s="17"/>
      <c r="C39" s="97"/>
      <c r="D39" s="97"/>
      <c r="E39" s="107"/>
      <c r="F39" s="107"/>
      <c r="G39" s="108"/>
      <c r="H39" s="17"/>
      <c r="I39" s="17"/>
      <c r="J39" s="7"/>
    </row>
    <row r="40" spans="1:10" ht="12.75">
      <c r="A40" s="18"/>
      <c r="B40" s="18"/>
      <c r="C40" s="109">
        <f>IF(Beräkning!F7&gt;0,"Termisk temperaturbegränsare","")</f>
      </c>
      <c r="H40" s="100">
        <f>IF(C40="Termisk temperaturbegränsare",1,"")</f>
      </c>
      <c r="I40" s="80">
        <f>IF(C40="Termisk temperaturbegränsare","st","")</f>
      </c>
      <c r="J40" s="7"/>
    </row>
    <row r="41" spans="1:10" ht="12.75">
      <c r="A41" s="18"/>
      <c r="B41" s="18"/>
      <c r="C41" s="18"/>
      <c r="H41" s="18"/>
      <c r="I41" s="17"/>
      <c r="J41" s="7"/>
    </row>
    <row r="42" spans="1:10" ht="12.75">
      <c r="A42" s="18"/>
      <c r="B42" s="17"/>
      <c r="G42" s="19"/>
      <c r="H42" s="19"/>
      <c r="I42" s="17"/>
      <c r="J42" s="7"/>
    </row>
    <row r="43" spans="1:10" ht="12.75">
      <c r="A43" s="18"/>
      <c r="B43" s="18"/>
      <c r="C43" s="18"/>
      <c r="D43" s="33" t="s">
        <v>96</v>
      </c>
      <c r="E43" s="35"/>
      <c r="F43" s="34"/>
      <c r="H43" s="18"/>
      <c r="I43" s="17"/>
      <c r="J43" s="7"/>
    </row>
    <row r="44" spans="1:10" ht="12.75">
      <c r="A44" s="18"/>
      <c r="B44" s="18"/>
      <c r="C44" s="18"/>
      <c r="D44" s="18"/>
      <c r="E44" s="7"/>
      <c r="F44" s="19"/>
      <c r="H44" s="18"/>
      <c r="I44" s="17"/>
      <c r="J44" s="7"/>
    </row>
    <row r="45" spans="1:10" ht="12.75">
      <c r="A45" s="18"/>
      <c r="B45" s="18"/>
      <c r="C45" s="18"/>
      <c r="D45" s="18" t="s">
        <v>97</v>
      </c>
      <c r="E45" s="7">
        <f>Beräkning!F5+Beräkning!F6+Beräkning!F7+Beräkning!F8</f>
        <v>0</v>
      </c>
      <c r="F45" s="19" t="s">
        <v>5</v>
      </c>
      <c r="H45" s="18"/>
      <c r="I45" s="17"/>
      <c r="J45" s="7"/>
    </row>
    <row r="46" spans="1:10" ht="12.75">
      <c r="A46" s="18"/>
      <c r="B46" s="18"/>
      <c r="C46" s="18"/>
      <c r="D46" s="18" t="s">
        <v>98</v>
      </c>
      <c r="E46" s="8">
        <f>Beräkning!C52</f>
        <v>0</v>
      </c>
      <c r="F46" s="19" t="s">
        <v>10</v>
      </c>
      <c r="H46" s="18"/>
      <c r="I46" s="17"/>
      <c r="J46" s="7"/>
    </row>
    <row r="47" spans="1:10" ht="14.25">
      <c r="A47" s="18"/>
      <c r="B47" s="18"/>
      <c r="C47" s="18"/>
      <c r="D47" s="18" t="s">
        <v>99</v>
      </c>
      <c r="E47" s="7">
        <f>Beräkning!E30</f>
        <v>80</v>
      </c>
      <c r="F47" s="50" t="s">
        <v>100</v>
      </c>
      <c r="H47" s="18"/>
      <c r="I47" s="17"/>
      <c r="J47" s="7"/>
    </row>
    <row r="48" spans="1:10" ht="12.75">
      <c r="A48" s="18"/>
      <c r="B48" s="18"/>
      <c r="C48" s="18"/>
      <c r="D48" s="18" t="s">
        <v>101</v>
      </c>
      <c r="E48" s="7">
        <f>Beräkning!E33</f>
        <v>10</v>
      </c>
      <c r="F48" s="19" t="s">
        <v>30</v>
      </c>
      <c r="H48" s="18"/>
      <c r="I48" s="17"/>
      <c r="J48" s="7"/>
    </row>
    <row r="49" spans="1:10" ht="12.75">
      <c r="A49" s="18"/>
      <c r="B49" s="18"/>
      <c r="C49" s="18"/>
      <c r="D49" s="18" t="s">
        <v>102</v>
      </c>
      <c r="E49" s="7">
        <f>Beräkning!E34</f>
        <v>2</v>
      </c>
      <c r="F49" s="19" t="s">
        <v>32</v>
      </c>
      <c r="H49" s="18"/>
      <c r="I49" s="17"/>
      <c r="J49" s="7"/>
    </row>
    <row r="50" spans="1:10" ht="12.75">
      <c r="A50" s="28"/>
      <c r="B50" s="28"/>
      <c r="C50" s="28"/>
      <c r="D50" s="28" t="s">
        <v>103</v>
      </c>
      <c r="E50" s="53">
        <f>Beräkning!C53</f>
        <v>0</v>
      </c>
      <c r="F50" s="24" t="s">
        <v>10</v>
      </c>
      <c r="G50" s="25"/>
      <c r="H50" s="23"/>
      <c r="I50" s="113"/>
      <c r="J50" s="7"/>
    </row>
    <row r="51" spans="1:10" ht="12.7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ht="12.75">
      <c r="A52" s="7"/>
      <c r="B52" s="7"/>
      <c r="C52" s="7"/>
      <c r="D52" s="7"/>
      <c r="E52" s="7"/>
      <c r="F52" s="7"/>
      <c r="G52" s="87"/>
      <c r="H52" s="7"/>
      <c r="I52" s="7"/>
      <c r="J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2.75">
      <c r="A55" s="7"/>
      <c r="B55" s="7"/>
      <c r="C55" s="7"/>
      <c r="D55" s="7"/>
      <c r="E55" s="7"/>
      <c r="F55" s="7"/>
      <c r="G55" s="7"/>
      <c r="H55" s="7"/>
      <c r="I55" s="7"/>
    </row>
    <row r="56" spans="1:9" ht="12.75">
      <c r="A56" s="7"/>
      <c r="B56" s="7"/>
      <c r="C56" s="7"/>
      <c r="D56" s="7"/>
      <c r="E56" s="7"/>
      <c r="F56" s="7"/>
      <c r="G56" s="7"/>
      <c r="H56" s="7"/>
      <c r="I56" s="7"/>
    </row>
    <row r="57" spans="1:9" ht="12.75">
      <c r="A57" s="7"/>
      <c r="B57" s="7"/>
      <c r="C57" s="7"/>
      <c r="D57" s="7"/>
      <c r="E57" s="7"/>
      <c r="F57" s="7"/>
      <c r="G57" s="7"/>
      <c r="H57" s="7"/>
      <c r="I57" s="7"/>
    </row>
    <row r="58" spans="1:9" ht="12.75">
      <c r="A58" s="7"/>
      <c r="B58" s="7"/>
      <c r="C58" s="7"/>
      <c r="D58" s="7"/>
      <c r="E58" s="7"/>
      <c r="F58" s="7"/>
      <c r="G58" s="7"/>
      <c r="H58" s="7"/>
      <c r="I58" s="7"/>
    </row>
    <row r="59" spans="1:9" ht="12.75">
      <c r="A59" s="7"/>
      <c r="B59" s="7"/>
      <c r="C59" s="7"/>
      <c r="D59" s="7"/>
      <c r="E59" s="7"/>
      <c r="F59" s="7"/>
      <c r="G59" s="7"/>
      <c r="H59" s="7"/>
      <c r="I59" s="7"/>
    </row>
  </sheetData>
  <sheetProtection sheet="1" objects="1" scenarios="1"/>
  <printOptions/>
  <pageMargins left="0.75" right="0.75" top="1" bottom="1" header="0.5" footer="0.5"/>
  <pageSetup horizontalDpi="300" verticalDpi="300" orientation="portrait" paperSize="9" r:id="rId1"/>
  <headerFooter alignWithMargins="0">
    <oddFooter>&amp;CBeulco Armatur AB
BOX 15093   250 15 HELSINGBORG   TEL 042-295560   FAX 042-295575
www.beulcoarmatur.se    E-MAIL  info@beulcoarmatur.se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 VVS AB</dc:creator>
  <cp:keywords/>
  <dc:description/>
  <cp:lastModifiedBy>Jörgen Windahl</cp:lastModifiedBy>
  <cp:lastPrinted>2003-12-03T11:57:44Z</cp:lastPrinted>
  <dcterms:created xsi:type="dcterms:W3CDTF">2003-02-18T08:48:35Z</dcterms:created>
  <dcterms:modified xsi:type="dcterms:W3CDTF">2018-10-17T14:41:10Z</dcterms:modified>
  <cp:category/>
  <cp:version/>
  <cp:contentType/>
  <cp:contentStatus/>
</cp:coreProperties>
</file>